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Cache/pivotCacheRecords3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11790" tabRatio="701"/>
  </bookViews>
  <sheets>
    <sheet name="Sheet17" sheetId="39" r:id="rId1"/>
    <sheet name="1540结算表" sheetId="1" r:id="rId2"/>
    <sheet name="汇总" sheetId="2" r:id="rId3"/>
    <sheet name="20140901-20140930" sheetId="3" r:id="rId4"/>
    <sheet name="20141001-20141231" sheetId="4" r:id="rId5"/>
    <sheet name="20150101-20150331" sheetId="5" r:id="rId6"/>
    <sheet name="20150401-20150630" sheetId="6" r:id="rId7"/>
    <sheet name="20150701-20150930" sheetId="7" r:id="rId8"/>
    <sheet name="20151001-20151231" sheetId="8" r:id="rId9"/>
    <sheet name="20160101-20160331" sheetId="9" r:id="rId10"/>
    <sheet name="20160401-20160630 交割单查询" sheetId="10" r:id="rId11"/>
    <sheet name="20160701-20160930 交割单查询" sheetId="11" r:id="rId12"/>
    <sheet name="20161001-20161231交割单" sheetId="12" r:id="rId13"/>
    <sheet name="20170101-20170331交割单查询" sheetId="13" r:id="rId14"/>
    <sheet name="20170401-20170630 交割单查询" sheetId="14" r:id="rId15"/>
    <sheet name="20170701-20170930 交割单查询" sheetId="15" r:id="rId16"/>
    <sheet name="20171001-20171231交割单查询" sheetId="16" r:id="rId17"/>
    <sheet name="20180101-20180331交割单查询" sheetId="17" r:id="rId18"/>
    <sheet name="20180401-20180630交割单查询" sheetId="18" r:id="rId19"/>
    <sheet name="20180701-20180930交割单查询" sheetId="19" r:id="rId20"/>
    <sheet name="20181001-20181231交割单查询" sheetId="20" r:id="rId21"/>
    <sheet name="20190101-20190331交割单查询" sheetId="21" r:id="rId22"/>
    <sheet name="20190401-20190630交割单查询" sheetId="22" r:id="rId23"/>
    <sheet name="20190701-20190930交割单查询" sheetId="23" r:id="rId24"/>
    <sheet name="20191001-20191231交割单查询" sheetId="24" r:id="rId25"/>
    <sheet name="20200101-20200331交割单查询" sheetId="25" r:id="rId26"/>
    <sheet name="20200401-20200630交割单查询" sheetId="26" r:id="rId27"/>
    <sheet name="20200701-20200930交割单查询" sheetId="27" r:id="rId28"/>
    <sheet name="20201001-20201231交割单查询" sheetId="28" r:id="rId29"/>
    <sheet name="20210101-20210331交割单查询" sheetId="29" r:id="rId30"/>
    <sheet name="20210301-20210630交割单查询" sheetId="30" r:id="rId31"/>
    <sheet name="20210701-20210930 交割单查询" sheetId="31" r:id="rId32"/>
    <sheet name="20211001-20211231交割单查询" sheetId="33" r:id="rId33"/>
    <sheet name="20220101-20220331交割单查询" sheetId="35" r:id="rId34"/>
    <sheet name="20220401-20220630 交割单查询" sheetId="37" r:id="rId35"/>
  </sheets>
  <definedNames>
    <definedName name="_xlnm._FilterDatabase" localSheetId="13" hidden="1">'20170101-20170331交割单查询'!$A$1:$S$26</definedName>
    <definedName name="_xlnm._FilterDatabase" localSheetId="26" hidden="1">'20200401-20200630交割单查询'!$A$1:$S$122</definedName>
    <definedName name="_xlnm._FilterDatabase" localSheetId="2" hidden="1">汇总!$A$1:$P$2288</definedName>
  </definedNames>
  <calcPr calcId="144525"/>
  <pivotCaches>
    <pivotCache cacheId="0" r:id="rId37"/>
    <pivotCache cacheId="1" r:id="rId38"/>
    <pivotCache cacheId="2" r:id="rId39"/>
  </pivotCaches>
</workbook>
</file>

<file path=xl/connections.xml><?xml version="1.0" encoding="utf-8"?>
<connections xmlns="http://schemas.openxmlformats.org/spreadsheetml/2006/main">
  <connection id="1" name="52893交割汇总" type="5" background="1" refreshedVersion="2" saveData="1">
    <dbPr connection="Provider=Microsoft.ACE.OLEDB.12.0;User ID=Admin;Data Source=X:\交割单\52893\52893交割汇总.xlsx;Mode=Share Deny Write;Extended Properties=&quot;HDR=YES; &quot;;Jet OLEDB:System database=&quot;&quot;;Jet OLEDB:Registry Path=&quot;&quot;;Jet OLEDB:Database Password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SELECT `证券代码`, `发生金额`, `成交金额`, `成交数量`, `资金余额`, `当前持仓` FROM `'20110701-20110930 对账单查询$'`  ORDER BY `证券代码` DESC" commandType="2"/>
  </connection>
  <connection id="2" name="52893交割汇总1" type="5" background="1" refreshedVersion="2" saveData="1">
    <dbPr connection="Provider=Microsoft.ACE.OLEDB.12.0;User ID=Admin;Data Source=X:\交割单\52893\52893交割汇总.xlsx;Mode=Share Deny Write;Extended Properties=&quot;HDR=YES; &quot;;Jet OLEDB:System database=&quot;&quot;;Jet OLEDB:Registry Path=&quot;&quot;;Jet OLEDB:Database Password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SELECT * FROM `汇总$`  ORDER BY `委托日期` ASC" commandType="2"/>
  </connection>
</connections>
</file>

<file path=xl/sharedStrings.xml><?xml version="1.0" encoding="utf-8"?>
<sst xmlns="http://schemas.openxmlformats.org/spreadsheetml/2006/main" count="255" uniqueCount="115">
  <si>
    <t>证券代码</t>
  </si>
  <si>
    <t>求和项:发生金额</t>
  </si>
  <si>
    <t>000050</t>
  </si>
  <si>
    <t>000541</t>
  </si>
  <si>
    <t>000543</t>
  </si>
  <si>
    <t>000601</t>
  </si>
  <si>
    <t>000606</t>
  </si>
  <si>
    <t>000667</t>
  </si>
  <si>
    <t>000670</t>
  </si>
  <si>
    <t>000700</t>
  </si>
  <si>
    <t>000768</t>
  </si>
  <si>
    <t>000868</t>
  </si>
  <si>
    <t>000939</t>
  </si>
  <si>
    <t>001227</t>
  </si>
  <si>
    <t>002015</t>
  </si>
  <si>
    <t>002023</t>
  </si>
  <si>
    <t>002036</t>
  </si>
  <si>
    <t>002154</t>
  </si>
  <si>
    <t>002183</t>
  </si>
  <si>
    <t>002197</t>
  </si>
  <si>
    <t>002296</t>
  </si>
  <si>
    <t>002419</t>
  </si>
  <si>
    <t>002484</t>
  </si>
  <si>
    <t>002500</t>
  </si>
  <si>
    <t>002543</t>
  </si>
  <si>
    <t>002609</t>
  </si>
  <si>
    <t>002717</t>
  </si>
  <si>
    <t>002925</t>
  </si>
  <si>
    <t>002958</t>
  </si>
  <si>
    <t>003016</t>
  </si>
  <si>
    <t>00386</t>
  </si>
  <si>
    <t>01099</t>
  </si>
  <si>
    <t>040008</t>
  </si>
  <si>
    <t>072142</t>
  </si>
  <si>
    <t>072271</t>
  </si>
  <si>
    <t>072284</t>
  </si>
  <si>
    <t>072318</t>
  </si>
  <si>
    <t>119931</t>
  </si>
  <si>
    <t>122535</t>
  </si>
  <si>
    <t>128016</t>
  </si>
  <si>
    <t>128019</t>
  </si>
  <si>
    <t>128023</t>
  </si>
  <si>
    <t>128024</t>
  </si>
  <si>
    <t>131801</t>
  </si>
  <si>
    <t>131802</t>
  </si>
  <si>
    <t>131803</t>
  </si>
  <si>
    <t>131810</t>
  </si>
  <si>
    <t>131811</t>
  </si>
  <si>
    <t>150153</t>
  </si>
  <si>
    <t>150175</t>
  </si>
  <si>
    <t>150181</t>
  </si>
  <si>
    <t>150182</t>
  </si>
  <si>
    <t>150197</t>
  </si>
  <si>
    <t>150201</t>
  </si>
  <si>
    <t>150209</t>
  </si>
  <si>
    <t>150259</t>
  </si>
  <si>
    <t>150276</t>
  </si>
  <si>
    <t>150295</t>
  </si>
  <si>
    <t>150296</t>
  </si>
  <si>
    <t>159781</t>
  </si>
  <si>
    <t>159949</t>
  </si>
  <si>
    <t>160136</t>
  </si>
  <si>
    <t>161024</t>
  </si>
  <si>
    <t>161026</t>
  </si>
  <si>
    <t>162411</t>
  </si>
  <si>
    <t>300195</t>
  </si>
  <si>
    <t>300355</t>
  </si>
  <si>
    <t>300463</t>
  </si>
  <si>
    <t>300535</t>
  </si>
  <si>
    <t>300829</t>
  </si>
  <si>
    <t>502012</t>
  </si>
  <si>
    <t>510300</t>
  </si>
  <si>
    <t>511990</t>
  </si>
  <si>
    <t>511991</t>
  </si>
  <si>
    <t>600025</t>
  </si>
  <si>
    <t>600028</t>
  </si>
  <si>
    <t>600066</t>
  </si>
  <si>
    <t>600165</t>
  </si>
  <si>
    <t>600172</t>
  </si>
  <si>
    <t>600219</t>
  </si>
  <si>
    <t>600270</t>
  </si>
  <si>
    <t>600297</t>
  </si>
  <si>
    <t>600362</t>
  </si>
  <si>
    <t>600365</t>
  </si>
  <si>
    <t>600467</t>
  </si>
  <si>
    <t>600575</t>
  </si>
  <si>
    <t>600583</t>
  </si>
  <si>
    <t>600597</t>
  </si>
  <si>
    <t>600613</t>
  </si>
  <si>
    <t>600664</t>
  </si>
  <si>
    <t>600722</t>
  </si>
  <si>
    <t>600789</t>
  </si>
  <si>
    <t>600829</t>
  </si>
  <si>
    <t>600886</t>
  </si>
  <si>
    <t>600894</t>
  </si>
  <si>
    <t>601000</t>
  </si>
  <si>
    <t>601088</t>
  </si>
  <si>
    <t>601166</t>
  </si>
  <si>
    <t>601179</t>
  </si>
  <si>
    <t>601398</t>
  </si>
  <si>
    <t>601607</t>
  </si>
  <si>
    <t>601669</t>
  </si>
  <si>
    <t>601866</t>
  </si>
  <si>
    <t>601919</t>
  </si>
  <si>
    <t>603506</t>
  </si>
  <si>
    <t>603707</t>
  </si>
  <si>
    <t>688047</t>
  </si>
  <si>
    <t>730025</t>
  </si>
  <si>
    <t>732506</t>
  </si>
  <si>
    <t>787047</t>
  </si>
  <si>
    <t>799999</t>
  </si>
  <si>
    <t>889688</t>
  </si>
  <si>
    <t>AA0007</t>
  </si>
  <si>
    <t>(空白)</t>
  </si>
  <si>
    <t>总计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</si>
</sst>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200AC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15" borderId="11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7" fillId="16" borderId="12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0" fillId="4" borderId="0" xfId="0" applyFont="1" applyFill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0" fontId="0" fillId="5" borderId="0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42">
    <dxf>
      <border>
        <right/>
      </border>
    </dxf>
    <dxf>
      <border>
        <right/>
      </border>
    </dxf>
    <dxf>
      <border>
        <right/>
      </border>
    </dxf>
    <dxf>
      <border>
        <right/>
      </border>
    </dxf>
    <dxf>
      <border>
        <right/>
      </border>
    </dxf>
    <dxf>
      <border>
        <right/>
      </border>
    </dxf>
    <dxf>
      <border>
        <right/>
      </border>
    </dxf>
    <dxf>
      <border>
        <right/>
      </border>
    </dxf>
    <dxf>
      <border>
        <right/>
      </border>
    </dxf>
    <dxf>
      <border>
        <right/>
      </border>
    </dxf>
    <dxf>
      <border>
        <right/>
      </border>
    </dxf>
    <dxf>
      <border>
        <right/>
      </border>
    </dxf>
    <dxf>
      <border>
        <right/>
      </border>
    </dxf>
    <dxf>
      <border>
        <right/>
      </border>
    </dxf>
    <dxf>
      <border>
        <right/>
      </border>
    </dxf>
    <dxf>
      <border>
        <right/>
      </border>
    </dxf>
    <dxf>
      <border>
        <right/>
      </border>
    </dxf>
    <dxf>
      <border>
        <right/>
      </border>
    </dxf>
    <dxf>
      <border>
        <right/>
      </border>
    </dxf>
    <dxf>
      <border>
        <right/>
      </border>
    </dxf>
    <dxf>
      <border>
        <right/>
      </border>
    </dxf>
    <dxf>
      <border>
        <right/>
      </border>
    </dxf>
    <dxf>
      <border>
        <right/>
      </border>
    </dxf>
    <dxf>
      <border>
        <right/>
      </border>
    </dxf>
    <dxf>
      <border>
        <right/>
      </border>
    </dxf>
    <dxf>
      <border>
        <right/>
      </border>
    </dxf>
    <dxf>
      <border>
        <right/>
      </border>
    </dxf>
    <dxf>
      <border>
        <right/>
      </border>
    </dxf>
    <dxf>
      <border>
        <right/>
      </border>
    </dxf>
    <dxf>
      <border>
        <right/>
      </border>
    </dxf>
    <dxf>
      <border>
        <right/>
      </border>
    </dxf>
    <dxf>
      <border>
        <right/>
      </border>
    </dxf>
    <dxf>
      <border>
        <right/>
      </border>
    </dxf>
    <dxf>
      <border>
        <right/>
      </border>
    </dxf>
    <dxf>
      <border>
        <right/>
      </border>
    </dxf>
    <dxf>
      <border>
        <right/>
      </border>
    </dxf>
    <dxf>
      <border>
        <right/>
      </border>
    </dxf>
    <dxf>
      <border>
        <right/>
      </border>
    </dxf>
    <dxf>
      <border>
        <right/>
      </border>
    </dxf>
    <dxf>
      <border>
        <right/>
      </border>
    </dxf>
    <dxf>
      <border>
        <right/>
      </border>
    </dxf>
    <dxf>
      <border>
        <right/>
      </border>
    </dxf>
  </dxfs>
  <tableStyles count="0" defaultTableStyle="TableStyleMedium2"/>
  <colors>
    <mruColors>
      <color rgb="00200AC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2" Type="http://schemas.openxmlformats.org/officeDocument/2006/relationships/sharedStrings" Target="sharedStrings.xml"/><Relationship Id="rId41" Type="http://schemas.openxmlformats.org/officeDocument/2006/relationships/styles" Target="styles.xml"/><Relationship Id="rId40" Type="http://schemas.openxmlformats.org/officeDocument/2006/relationships/theme" Target="theme/theme1.xml"/><Relationship Id="rId4" Type="http://schemas.openxmlformats.org/officeDocument/2006/relationships/worksheet" Target="worksheets/sheet4.xml"/><Relationship Id="rId39" Type="http://schemas.openxmlformats.org/officeDocument/2006/relationships/pivotCacheDefinition" Target="pivotCache/pivotCacheDefinition3.xml"/><Relationship Id="rId38" Type="http://schemas.openxmlformats.org/officeDocument/2006/relationships/pivotCacheDefinition" Target="pivotCache/pivotCacheDefinition2.xml"/><Relationship Id="rId37" Type="http://schemas.openxmlformats.org/officeDocument/2006/relationships/pivotCacheDefinition" Target="pivotCache/pivotCacheDefinition1.xml"/><Relationship Id="rId36" Type="http://schemas.openxmlformats.org/officeDocument/2006/relationships/connections" Target="connections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\Users\D\Documents\WPS Cloud Files\125800910\52893&#20132;&#21106;&#27719;&#24635;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4748.6592361111" refreshedBy="D" recordCount="2408">
  <cacheSource type="worksheet">
    <worksheetSource ref="A1:K1048576" sheet="汇总" r:id="rId2"/>
  </cacheSource>
  <cacheFields count="11">
    <cacheField name="成交日期" numFmtId="0">
      <sharedItems containsBlank="1" containsNumber="1" containsInteger="1" containsMixedTypes="1" count="1162">
        <s v="20110708"/>
        <s v="20110711"/>
        <s v="20110714"/>
        <s v="20110718"/>
        <s v="20110725"/>
        <s v="20110805"/>
        <s v="20110810"/>
        <s v="20110811"/>
        <s v="20110812"/>
        <s v="20110818"/>
        <s v="20110823"/>
        <s v="20110826"/>
        <s v="20110920"/>
        <s v="20110921"/>
        <s v="20110922"/>
        <s v="20111010"/>
        <s v="20111013"/>
        <s v="20111014"/>
        <s v="20111019"/>
        <s v="20111101"/>
        <s v="20111104"/>
        <s v="20111122"/>
        <s v="20111220"/>
        <s v="20111221"/>
        <s v="20120305"/>
        <s v="20120308"/>
        <s v="20120312"/>
        <s v="20120313"/>
        <s v="20120320"/>
        <s v="20120608"/>
        <s v="20120618"/>
        <s v="20120620"/>
        <s v="20120920"/>
        <s v="20121220"/>
        <s v="20121228"/>
        <s v="20130110"/>
        <s v="20130225"/>
        <s v="20130320"/>
        <s v="20130520"/>
        <s v="20130613"/>
        <s v="20130618"/>
        <s v="20130620"/>
        <s v="20130626"/>
        <s v="20130716"/>
        <s v="20130724"/>
        <s v="20130802"/>
        <s v="20130805"/>
        <s v="20130809"/>
        <s v="20130812"/>
        <s v="20130819"/>
        <s v="20130821"/>
        <s v="20130826"/>
        <s v="20130829"/>
        <s v="20130830"/>
        <s v="20130902"/>
        <s v="20130904"/>
        <s v="20130910"/>
        <s v="20130911"/>
        <s v="20130913"/>
        <s v="20130918"/>
        <s v="20130923"/>
        <s v="20130924"/>
        <s v="20130925"/>
        <s v="20130926"/>
        <s v="20131008"/>
        <s v="20131009"/>
        <s v="20131015"/>
        <s v="20131016"/>
        <s v="20131021"/>
        <s v="20131022"/>
        <s v="20131023"/>
        <s v="20131024"/>
        <s v="20131029"/>
        <s v="20131101"/>
        <s v="20131107"/>
        <s v="20131111"/>
        <s v="20131112"/>
        <s v="20131113"/>
        <s v="20131115"/>
        <s v="20131118"/>
        <s v="20131119"/>
        <s v="20131121"/>
        <s v="20131126"/>
        <s v="20131127"/>
        <s v="20131128"/>
        <s v="20131129"/>
        <s v="20131203"/>
        <s v="20131220"/>
        <s v="20140129"/>
        <s v="20140318"/>
        <s v="20140320"/>
        <s v="20140321"/>
        <s v="20140521"/>
        <s v="20140529"/>
        <s v="20140616"/>
        <s v="20140617"/>
        <s v="20140619"/>
        <s v="20140620"/>
        <s v="20140627"/>
        <s v="20140714"/>
        <s v="20140718"/>
        <s v="20140722"/>
        <s v="20140723"/>
        <s v="20140724"/>
        <s v="20140725"/>
        <s v="20140728"/>
        <s v="20140729"/>
        <s v="20140730"/>
        <s v="20140801"/>
        <s v="20140813"/>
        <s v="20140814"/>
        <s v="20140815"/>
        <s v="20140818"/>
        <s v="20140819"/>
        <s v="20140821"/>
        <s v="20140822"/>
        <s v="20140825"/>
        <s v="20140826"/>
        <s v="20140827"/>
        <s v="20140828"/>
        <s v="20140829"/>
        <s v="20140902"/>
        <s v="20140903"/>
        <s v="20140904"/>
        <s v="20140905"/>
        <s v="20140915"/>
        <s v="20140916"/>
        <s v="20140917"/>
        <s v="20140918"/>
        <s v="20140919"/>
        <s v="20140922"/>
        <s v="20140923"/>
        <s v="20140924"/>
        <s v="20140925"/>
        <s v="20140926"/>
        <s v="20141013"/>
        <s v="20141015"/>
        <s v="20141016"/>
        <s v="20141110"/>
        <s v="20141124"/>
        <s v="20141125"/>
        <s v="20141128"/>
        <s v="20141203"/>
        <s v="20141205"/>
        <s v="20141208"/>
        <s v="20141209"/>
        <s v="20141210"/>
        <s v="20141211"/>
        <s v="20141216"/>
        <s v="20141219"/>
        <s v="20141222"/>
        <s v="20141223"/>
        <s v="20141224"/>
        <s v="20150106"/>
        <s v="20150114"/>
        <s v="20150202"/>
        <s v="20150203"/>
        <s v="20150205"/>
        <s v="20150209"/>
        <s v="20150210"/>
        <s v="20150211"/>
        <s v="20150212"/>
        <s v="20150226"/>
        <s v="20150306"/>
        <s v="20150320"/>
        <s v="20150401"/>
        <s v="20150403"/>
        <s v="20150428"/>
        <s v="20150430"/>
        <s v="20150602"/>
        <s v="20150609"/>
        <s v="20150619"/>
        <s v="20150703"/>
        <s v="20150706"/>
        <s v="20150707"/>
        <s v="20150708"/>
        <s v="20150709"/>
        <s v="20150710"/>
        <s v="20150713"/>
        <s v="20150717"/>
        <s v="20150720"/>
        <s v="20150721"/>
        <s v="20150722"/>
        <s v="20150723"/>
        <s v="20150724"/>
        <s v="20150727"/>
        <s v="20150728"/>
        <s v="20150730"/>
        <s v="20150731"/>
        <s v="20150803"/>
        <s v="20150804"/>
        <s v="20150805"/>
        <s v="20150806"/>
        <s v="20150807"/>
        <s v="20150810"/>
        <s v="20150811"/>
        <s v="20150812"/>
        <s v="20150813"/>
        <s v="20150814"/>
        <s v="20150821"/>
        <s v="20150825"/>
        <s v="20150826"/>
        <s v="20150827"/>
        <s v="20150828"/>
        <s v="20150831"/>
        <s v="20150901"/>
        <s v="20150902"/>
        <s v="20150909"/>
        <s v="20150911"/>
        <s v="20150917"/>
        <s v="20150921"/>
        <s v="20150923"/>
        <s v="20150924"/>
        <s v="20150930"/>
        <s v="20151008"/>
        <s v="20151012"/>
        <s v="20151110"/>
        <s v="20151209"/>
        <s v="20151210"/>
        <s v="20151216"/>
        <s v="20151218"/>
        <s v="20151221"/>
        <s v="20160104"/>
        <s v="20160105"/>
        <s v="20160112"/>
        <s v="20160122"/>
        <s v="20160127"/>
        <s v="20160201"/>
        <s v="20160204"/>
        <s v="20160225"/>
        <s v="20160226"/>
        <s v="20160303"/>
        <s v="20160304"/>
        <s v="20160308"/>
        <s v="20160309"/>
        <s v="20160314"/>
        <s v="20160321"/>
        <s v="20160412"/>
        <s v="20160414"/>
        <s v="20160420"/>
        <s v="20160421"/>
        <s v="20160422"/>
        <s v="20160425"/>
        <s v="20160516"/>
        <s v="20160531"/>
        <s v="20160603"/>
        <s v="20160613"/>
        <s v="20160620"/>
        <s v="20160621"/>
        <s v="20160622"/>
        <s v="20160623"/>
        <s v="20160624"/>
        <s v="20160627"/>
        <s v="20160628"/>
        <s v="20160629"/>
        <s v="20160630"/>
        <s v="20160701"/>
        <s v="20160704"/>
        <s v="20160705"/>
        <s v="20160706"/>
        <s v="20160707"/>
        <s v="20160708"/>
        <s v="20160711"/>
        <s v="20160712"/>
        <s v="20160714"/>
        <s v="20160715"/>
        <s v="20160718"/>
        <s v="20160719"/>
        <s v="20160720"/>
        <s v="20160722"/>
        <s v="20160727"/>
        <s v="20160728"/>
        <s v="20160729"/>
        <s v="20160801"/>
        <s v="20160803"/>
        <s v="20160804"/>
        <s v="20160805"/>
        <s v="20160808"/>
        <s v="20160815"/>
        <s v="20160816"/>
        <s v="20160817"/>
        <s v="20160818"/>
        <s v="20160822"/>
        <s v="20160824"/>
        <s v="20160825"/>
        <s v="20160826"/>
        <s v="20160829"/>
        <s v="20160830"/>
        <s v="20160831"/>
        <s v="20160901"/>
        <s v="20160902"/>
        <s v="20160906"/>
        <s v="20160907"/>
        <s v="20160909"/>
        <s v="20160912"/>
        <s v="20160920"/>
        <s v="20160923"/>
        <s v="20161017"/>
        <s v="20161019"/>
        <s v="20161024"/>
        <s v="20161026"/>
        <s v="20161027"/>
        <s v="20161028"/>
        <s v="20161103"/>
        <s v="20161104"/>
        <s v="20161108"/>
        <s v="20161109"/>
        <s v="20161110"/>
        <s v="20161114"/>
        <s v="20161115"/>
        <s v="20161116"/>
        <s v="20161117"/>
        <s v="20161118"/>
        <s v="20161121"/>
        <s v="20161122"/>
        <s v="20161123"/>
        <s v="20161124"/>
        <s v="20161125"/>
        <s v="20161129"/>
        <s v="20161130"/>
        <s v="20161201"/>
        <s v="20161202"/>
        <s v="20161205"/>
        <s v="20161206"/>
        <s v="20161207"/>
        <s v="20161213"/>
        <s v="20161215"/>
        <s v="20161216"/>
        <s v="20161219"/>
        <s v="20161220"/>
        <s v="20161222"/>
        <s v="20161226"/>
        <s v="20161227"/>
        <s v="20161228"/>
        <s v="20161229"/>
        <s v="20161230"/>
        <s v="20170104"/>
        <s v="20170105"/>
        <s v="20170106"/>
        <s v="20170109"/>
        <s v="20170111"/>
        <s v="20170116"/>
        <s v="20170119"/>
        <s v="20170120"/>
        <s v="20170123"/>
        <s v="20170124"/>
        <s v="20170125"/>
        <s v="20170126"/>
        <s v="20170203"/>
        <s v="20170206"/>
        <s v="20170207"/>
        <s v="20170208"/>
        <s v="20170209"/>
        <s v="20170210"/>
        <s v="20170213"/>
        <s v="20170214"/>
        <s v="20170215"/>
        <s v="20170216"/>
        <s v="20170217"/>
        <s v="20170220"/>
        <s v="20170227"/>
        <s v="20170313"/>
        <s v="20170316"/>
        <s v="20170317"/>
        <s v="20170320"/>
        <s v="20170322"/>
        <s v="20170323"/>
        <s v="20170324"/>
        <s v="20170327"/>
        <s v="20170328"/>
        <s v="20170329"/>
        <s v="20170330"/>
        <s v="20170405"/>
        <s v="20170410"/>
        <s v="20170413"/>
        <s v="20170414"/>
        <s v="20170504"/>
        <s v="20170505"/>
        <s v="20170509"/>
        <s v="20170510"/>
        <s v="20170602"/>
        <s v="20170615"/>
        <s v="20170619"/>
        <s v="20170620"/>
        <s v="20170622"/>
        <s v="20170623"/>
        <s v="20170626"/>
        <s v="20170629"/>
        <s v="20170704"/>
        <s v="20170705"/>
        <s v="20170719"/>
        <s v="20170720"/>
        <s v="20170721"/>
        <s v="20170724"/>
        <s v="20170725"/>
        <s v="20170726"/>
        <s v="20170727"/>
        <s v="20170728"/>
        <s v="20170731"/>
        <s v="20170801"/>
        <s v="20170802"/>
        <s v="20170803"/>
        <s v="20170807"/>
        <s v="20170808"/>
        <s v="20170809"/>
        <s v="20170810"/>
        <s v="20170811"/>
        <s v="20170814"/>
        <s v="20170815"/>
        <s v="20170816"/>
        <s v="20170817"/>
        <s v="20170818"/>
        <s v="20170822"/>
        <s v="20170823"/>
        <s v="20170824"/>
        <s v="20170829"/>
        <s v="20170830"/>
        <s v="20170831"/>
        <s v="20170906"/>
        <s v="20170907"/>
        <s v="20170908"/>
        <s v="20170911"/>
        <s v="20170912"/>
        <s v="20170913"/>
        <s v="20170918"/>
        <s v="20170919"/>
        <s v="20170920"/>
        <s v="20170921"/>
        <s v="20170922"/>
        <s v="20170925"/>
        <s v="20170926"/>
        <s v="20170927"/>
        <s v="20170928"/>
        <s v="20170929"/>
        <s v="20171009"/>
        <s v="20171010"/>
        <s v="20171013"/>
        <s v="20171016"/>
        <s v="20171018"/>
        <s v="20171019"/>
        <s v="20171023"/>
        <s v="20171025"/>
        <s v="20171026"/>
        <s v="20171027"/>
        <s v="20171030"/>
        <s v="20171031"/>
        <s v="20171101"/>
        <s v="20171102"/>
        <s v="20171103"/>
        <s v="20171108"/>
        <s v="20171110"/>
        <s v="20171113"/>
        <s v="20171114"/>
        <s v="20171115"/>
        <s v="20171116"/>
        <s v="20171120"/>
        <s v="20171121"/>
        <s v="20171123"/>
        <s v="20171201"/>
        <s v="20171204"/>
        <s v="20171205"/>
        <s v="20171206"/>
        <s v="20171207"/>
        <s v="20171208"/>
        <s v="20171211"/>
        <s v="20171214"/>
        <s v="20171215"/>
        <s v="20171218"/>
        <s v="20171220"/>
        <s v="20171221"/>
        <s v="20171222"/>
        <s v="20171225"/>
        <s v="20171226"/>
        <s v="20171227"/>
        <s v="20171228"/>
        <s v="20171229"/>
        <s v="20180102"/>
        <s v="20180103"/>
        <s v="20180108"/>
        <s v="20180109"/>
        <s v="20180110"/>
        <s v="20180111"/>
        <s v="20180115"/>
        <s v="20180116"/>
        <s v="20180117"/>
        <s v="20180118"/>
        <s v="20180119"/>
        <s v="20180123"/>
        <s v="20180124"/>
        <s v="20180125"/>
        <s v="20180126"/>
        <s v="20180129"/>
        <s v="20180130"/>
        <s v="20180131"/>
        <s v="20180201"/>
        <s v="20180202"/>
        <s v="20180205"/>
        <s v="20180206"/>
        <s v="20180207"/>
        <s v="20180208"/>
        <s v="20180209"/>
        <s v="20180212"/>
        <s v="20180213"/>
        <s v="20180214"/>
        <s v="20180222"/>
        <s v="20180223"/>
        <s v="20180226"/>
        <s v="20180227"/>
        <s v="20180228"/>
        <s v="20180301"/>
        <s v="20180302"/>
        <s v="20180305"/>
        <s v="20180306"/>
        <s v="20180307"/>
        <s v="20180320"/>
        <s v="20180321"/>
        <s v="20180323"/>
        <s v="20180329"/>
        <s v="20180330"/>
        <s v="20180402"/>
        <s v="20180403"/>
        <s v="20180404"/>
        <s v="20180417"/>
        <s v="20180423"/>
        <s v="20180424"/>
        <s v="20180425"/>
        <s v="20180426"/>
        <s v="20180427"/>
        <s v="20180601"/>
        <s v="20180605"/>
        <s v="20180606"/>
        <s v="20180607"/>
        <s v="20180608"/>
        <s v="20180620"/>
        <s v="20180621"/>
        <s v="20180626"/>
        <s v="20180702"/>
        <s v="20180801"/>
        <s v="20180808"/>
        <s v="20180816"/>
        <s v="20180817"/>
        <s v="20180821"/>
        <s v="20180903"/>
        <s v="20180904"/>
        <s v="20180914"/>
        <s v="20180920"/>
        <s v="20180921"/>
        <s v="20181015"/>
        <s v="20181203"/>
        <s v="20181217"/>
        <s v="20181220"/>
        <s v="20181221"/>
        <s v="20190315"/>
        <s v="20190318"/>
        <s v="20190319"/>
        <s v="20190320"/>
        <s v="20190321"/>
        <s v="20190403"/>
        <s v="20190417"/>
        <s v="20190418"/>
        <s v="20190524"/>
        <s v="20190620"/>
        <s v="20190621"/>
        <s v="20190626"/>
        <s v="20190920"/>
        <s v="20190923"/>
        <s v="20191203"/>
        <s v="20191205"/>
        <s v="20191206"/>
        <s v="20191209"/>
        <s v="20191210"/>
        <s v="20191216"/>
        <s v="20191220"/>
        <s v="20191223"/>
        <s v="20200121"/>
        <s v="20200205"/>
        <s v="20200210"/>
        <s v="20200305"/>
        <s v="20200309"/>
        <s v="20200309_x0009_"/>
        <s v="20200310_x0009_"/>
        <s v="20200311_x0009_"/>
        <s v="20200312_x0009_"/>
        <s v="20200313"/>
        <s v="20200313_x0009_"/>
        <s v="20200316_x0009_"/>
        <s v="20200317_x0009_"/>
        <s v="20200318_x0009_"/>
        <s v="20200319"/>
        <s v="20200319_x0009_"/>
        <s v="20200320"/>
        <s v="20200320_x0009_"/>
        <s v="20200323"/>
        <s v="20200323_x0009_"/>
        <s v="20200324_x0009_"/>
        <s v="20200325_x0009_"/>
        <s v="20200326_x0009_"/>
        <s v="20200327_x0009_"/>
        <s v="20200330_x0009_"/>
        <s v="20200331_x0009_"/>
        <s v="20200401_x0009_"/>
        <s v="20200402_x0009_"/>
        <s v="20200403_x0009_"/>
        <s v="20200407_x0009_"/>
        <s v="20200408_x0009_"/>
        <s v="20200409_x0009_"/>
        <s v="20200414_x0009_"/>
        <s v="20200415_x0009_"/>
        <s v="20200416_x0009_"/>
        <s v="20200417_x0009_"/>
        <s v="20200420_x0009_"/>
        <s v="20200421_x0009_"/>
        <s v="20200422_x0009_"/>
        <s v="20200423_x0009_"/>
        <s v="20200424_x0009_"/>
        <s v="20200427_x0009_"/>
        <s v="20200428_x0009_"/>
        <s v="20200429_x0009_"/>
        <s v="20200506_x0009_"/>
        <s v="20200507_x0009_"/>
        <s v="20200508_x0009_"/>
        <s v="20200511_x0009_"/>
        <s v="20200512_x0009_"/>
        <s v="20200513_x0009_"/>
        <s v="20200514"/>
        <s v="20200514_x0009_"/>
        <s v="20200515_x0009_"/>
        <s v="20200518_x0009_"/>
        <s v="20200519_x0009_"/>
        <s v="20200520"/>
        <s v="20200520_x0009_"/>
        <s v="20200521"/>
        <s v="20200521_x0009_"/>
        <s v="20200522"/>
        <s v="20200522_x0009_"/>
        <s v="20200525"/>
        <s v="20200525_x0009_"/>
        <s v="20200526"/>
        <s v="20200526_x0009_"/>
        <s v="20200527"/>
        <s v="20200527_x0009_"/>
        <s v="20200528"/>
        <s v="20200528_x0009_"/>
        <s v="20200529"/>
        <s v="20200529_x0009_"/>
        <s v="20200601"/>
        <s v="20200601_x0009_"/>
        <s v="20200602"/>
        <s v="20200602_x0009_"/>
        <s v="20200603"/>
        <s v="20200603_x0009_"/>
        <s v="20200604"/>
        <s v="20200604_x0009_"/>
        <s v="20200605"/>
        <s v="20200605_x0009_"/>
        <s v="20200608"/>
        <s v="20200608_x0009_"/>
        <s v="20200609"/>
        <s v="20200609_x0009_"/>
        <s v="20200610_x0009_"/>
        <s v="20200611_x0009_"/>
        <s v="20200612"/>
        <s v="20200612_x0009_"/>
        <s v="20200615"/>
        <s v="20200615_x0009_"/>
        <s v="20200616"/>
        <s v="20200616_x0009_"/>
        <s v="20200617"/>
        <s v="20200617_x0009_"/>
        <s v="20200618"/>
        <s v="20200618_x0009_"/>
        <s v="20200619"/>
        <s v="20200619_x0009_"/>
        <s v="20200622"/>
        <s v="20200622_x0009_"/>
        <s v="20200623"/>
        <s v="20200623_x0009_"/>
        <s v="20200624"/>
        <s v="20200624_x0009_"/>
        <s v="20200629"/>
        <s v="20200629_x0009_"/>
        <s v="20200630_x0009_"/>
        <s v="20200701"/>
        <s v="20200702"/>
        <s v="20200703"/>
        <s v="20200706"/>
        <s v="20200707"/>
        <s v="20200708"/>
        <s v="20200709"/>
        <s v="20200710"/>
        <s v="20200713"/>
        <s v="20200714"/>
        <s v="20200715"/>
        <s v="20200716"/>
        <s v="20200717"/>
        <s v="20200720"/>
        <s v="20200721"/>
        <s v="20200722"/>
        <s v="20200723"/>
        <s v="20200724"/>
        <s v="20200727"/>
        <s v="20200728"/>
        <s v="20200729"/>
        <s v="20200730"/>
        <s v="20200731"/>
        <s v="20200803"/>
        <s v="20200804"/>
        <s v="20200805"/>
        <s v="20200806"/>
        <s v="20200807"/>
        <s v="20200810"/>
        <s v="20200811"/>
        <s v="20200812"/>
        <s v="20200813"/>
        <s v="20200814"/>
        <s v="20200817"/>
        <s v="20200818"/>
        <s v="20200819"/>
        <s v="20200820"/>
        <s v="20200821"/>
        <s v="20200824"/>
        <s v="20200825"/>
        <s v="20200826"/>
        <s v="20200827"/>
        <s v="20200828"/>
        <s v="20200831"/>
        <s v="20200901"/>
        <s v="20200902"/>
        <s v="20200903"/>
        <s v="20200904"/>
        <s v="20200907"/>
        <s v="20200908"/>
        <s v="20200909"/>
        <s v="20200910"/>
        <s v="20200911"/>
        <s v="20200914"/>
        <s v="20200915"/>
        <s v="20200916"/>
        <s v="20200917"/>
        <s v="20200918"/>
        <s v="20200921"/>
        <s v="20200922"/>
        <s v="20200923"/>
        <s v="20200924"/>
        <s v="20200925"/>
        <s v="20200928"/>
        <s v="20200929"/>
        <s v="20200930"/>
        <s v="20201009"/>
        <s v="20201012"/>
        <s v="20201013"/>
        <s v="20201014"/>
        <s v="20201015"/>
        <s v="20201016"/>
        <s v="20201019"/>
        <s v="20201020"/>
        <s v="20201021"/>
        <s v="20201022"/>
        <s v="20201023"/>
        <s v="20201026"/>
        <s v="20201027"/>
        <s v="20201028"/>
        <s v="20201029"/>
        <s v="20201030"/>
        <s v="20201102"/>
        <s v="20201103"/>
        <s v="20201104"/>
        <s v="20201105"/>
        <s v="20201106"/>
        <s v="20201109"/>
        <s v="20201110"/>
        <s v="20201111"/>
        <s v="20201112"/>
        <s v="20201113"/>
        <s v="20201116"/>
        <s v="20201117"/>
        <s v="20201118"/>
        <s v="20201119"/>
        <s v="20201120"/>
        <s v="20201123"/>
        <s v="20201124"/>
        <s v="20201125"/>
        <s v="20201126"/>
        <s v="20201127"/>
        <s v="20201130"/>
        <s v="20201201"/>
        <s v="20201202"/>
        <s v="20201203"/>
        <s v="20201204"/>
        <s v="20201207"/>
        <s v="20201208"/>
        <s v="20201209"/>
        <s v="20201210"/>
        <s v="20201211"/>
        <s v="20201214"/>
        <s v="20201215"/>
        <s v="20201216"/>
        <s v="20201217"/>
        <s v="20201218"/>
        <s v="20201221"/>
        <s v="20201222"/>
        <s v="20201223"/>
        <s v="20201224"/>
        <s v="20201228"/>
        <s v="20201229"/>
        <s v="20201230"/>
        <s v="20201231"/>
        <s v="20210104"/>
        <s v="20210105"/>
        <s v="20210106"/>
        <s v="20210107"/>
        <s v="20210108"/>
        <s v="20210111"/>
        <s v="20210112"/>
        <s v="20210113"/>
        <s v="20210114"/>
        <s v="20210115"/>
        <s v="20210118"/>
        <s v="20210119"/>
        <s v="20210120"/>
        <s v="20210121"/>
        <s v="20210122"/>
        <s v="20210125"/>
        <s v="20210126"/>
        <s v="20210127"/>
        <s v="20210128"/>
        <s v="20210129"/>
        <s v="20210201"/>
        <s v="20210202"/>
        <s v="20210203"/>
        <s v="20210204"/>
        <s v="20210205"/>
        <s v="20210208"/>
        <s v="20210209"/>
        <s v="20210210"/>
        <s v="20210218"/>
        <s v="20210219"/>
        <s v="20210222"/>
        <s v="20210223"/>
        <s v="20210224"/>
        <s v="20210225"/>
        <s v="20210226"/>
        <s v="20210301"/>
        <s v="20210302"/>
        <s v="20210303"/>
        <s v="20210304"/>
        <s v="20210305"/>
        <s v="20210308"/>
        <s v="20210309"/>
        <s v="20210310"/>
        <s v="20210311"/>
        <s v="20210312"/>
        <s v="20210315"/>
        <s v="20210316"/>
        <s v="20210317"/>
        <s v="20210318"/>
        <s v="20210319"/>
        <s v="20210322"/>
        <s v="20210323"/>
        <s v="20210324"/>
        <s v="20210325"/>
        <s v="20210326"/>
        <s v="20210329"/>
        <s v="20210330"/>
        <s v="20210331"/>
        <s v="20210401"/>
        <s v="20210407"/>
        <s v="20210408"/>
        <s v="20210409"/>
        <s v="20210412"/>
        <s v="20210413"/>
        <s v="20210414"/>
        <s v="20210415"/>
        <s v="20210416"/>
        <s v="20210419"/>
        <s v="20210420"/>
        <s v="20210421"/>
        <s v="20210422"/>
        <s v="20210423"/>
        <s v="20210426"/>
        <s v="20210427"/>
        <s v="20210428"/>
        <s v="20210429"/>
        <s v="20210430"/>
        <s v="20210506"/>
        <s v="20210507"/>
        <s v="20210510"/>
        <s v="20210511"/>
        <s v="20210512"/>
        <s v="20210513"/>
        <s v="20210514"/>
        <s v="20210517"/>
        <s v="20210518"/>
        <s v="20210519"/>
        <s v="20210520"/>
        <s v="20210521"/>
        <s v="20210524"/>
        <s v="20210525"/>
        <s v="20210526"/>
        <s v="20210527"/>
        <s v="20210528"/>
        <s v="20210531"/>
        <s v="20210601"/>
        <s v="20210602"/>
        <s v="20210603"/>
        <s v="20210604"/>
        <s v="20210607"/>
        <s v="20210608"/>
        <s v="20210609"/>
        <s v="20210610"/>
        <s v="20210611"/>
        <s v="20210615"/>
        <s v="20210616"/>
        <s v="20210617"/>
        <s v="20210618"/>
        <s v="20210621"/>
        <s v="20210622"/>
        <s v="20210623"/>
        <s v="20210624"/>
        <s v="20210625"/>
        <s v="20210628"/>
        <s v="20210629"/>
        <s v="20210630"/>
        <s v="20210701"/>
        <s v="20210702"/>
        <s v="20210705"/>
        <s v="20210706"/>
        <s v="20210707"/>
        <s v="20210708"/>
        <s v="20210709"/>
        <s v="20210712"/>
        <s v="20210713"/>
        <s v="20210714"/>
        <s v="20210715"/>
        <s v="20210716"/>
        <s v="20210719"/>
        <s v="20210720"/>
        <s v="20210721"/>
        <s v="20210722"/>
        <s v="20210723"/>
        <s v="20210726"/>
        <s v="20210727"/>
        <s v="20210728"/>
        <s v="20210729"/>
        <s v="20210730"/>
        <s v="20210802"/>
        <s v="20210803"/>
        <s v="20210804"/>
        <s v="20210805"/>
        <s v="20210806"/>
        <s v="20210809"/>
        <s v="20210810"/>
        <s v="20210811"/>
        <s v="20210812"/>
        <s v="20210813"/>
        <s v="20210816"/>
        <s v="20210817"/>
        <s v="20210818"/>
        <s v="20210819"/>
        <s v="20210820"/>
        <s v="20210823"/>
        <s v="20210824"/>
        <s v="20210825"/>
        <s v="20210826"/>
        <s v="20210827"/>
        <s v="20210830"/>
        <s v="20210831"/>
        <s v="20210901"/>
        <s v="20210902"/>
        <s v="20210903"/>
        <s v="20210906"/>
        <s v="20210907"/>
        <s v="20210908"/>
        <s v="20210909"/>
        <s v="20210910"/>
        <s v="20210913"/>
        <s v="20210914"/>
        <s v="20210915"/>
        <s v="20210916"/>
        <s v="20210917"/>
        <s v="20210923"/>
        <s v="20210924"/>
        <s v="20210927"/>
        <s v="20210928"/>
        <s v="20210929"/>
        <s v="20210930"/>
        <s v="20211008"/>
        <s v="20211011"/>
        <s v="20211012"/>
        <s v="20211013"/>
        <s v="20211014"/>
        <s v="20211015"/>
        <s v="20211018"/>
        <s v="20211019"/>
        <s v="20211020"/>
        <s v="20211021"/>
        <s v="20211022"/>
        <s v="20211025"/>
        <s v="20211026"/>
        <s v="20211027"/>
        <s v="20211028"/>
        <s v="20211029"/>
        <s v="20211101"/>
        <s v="20211102"/>
        <s v="20211103"/>
        <s v="20211104"/>
        <s v="20211105"/>
        <s v="20211108"/>
        <s v="20211109"/>
        <s v="20211110"/>
        <s v="20211111"/>
        <s v="20211112"/>
        <s v="20211115"/>
        <s v="20211116"/>
        <s v="20211117"/>
        <s v="20211118"/>
        <s v="20211119"/>
        <s v="20211122"/>
        <s v="20211123"/>
        <s v="20211124"/>
        <s v="20211125"/>
        <s v="20211126"/>
        <s v="20211129"/>
        <s v="20211130"/>
        <s v="20211201"/>
        <s v="20211202"/>
        <s v="20211203"/>
        <s v="20211206"/>
        <s v="20211207"/>
        <s v="20211208"/>
        <s v="20211209"/>
        <s v="20211210"/>
        <s v="20211213"/>
        <s v="20211214"/>
        <s v="20211215"/>
        <s v="20211216"/>
        <s v="20211217"/>
        <s v="20211220"/>
        <s v="20211221"/>
        <s v="20211222"/>
        <s v="20211223"/>
        <s v="20211224"/>
        <s v="20211227"/>
        <s v="20211228"/>
        <s v="20211229"/>
        <s v="20211230"/>
        <s v="20211231"/>
        <n v="20220104"/>
        <n v="20220105"/>
        <n v="20220106"/>
        <n v="20220107"/>
        <n v="20220110"/>
        <n v="20220111"/>
        <n v="20220112"/>
        <n v="20220113"/>
        <n v="20220114"/>
        <n v="20220117"/>
        <n v="20220118"/>
        <n v="20220119"/>
        <n v="20220120"/>
        <n v="20220121"/>
        <n v="20220124"/>
        <n v="20220125"/>
        <n v="20220126"/>
        <n v="20220127"/>
        <n v="20220128"/>
        <n v="20220207"/>
        <n v="20220208"/>
        <n v="20220209"/>
        <n v="20220210"/>
        <n v="20220211"/>
        <n v="20220214"/>
        <n v="20220215"/>
        <n v="20220216"/>
        <n v="20220217"/>
        <n v="20220218"/>
        <n v="20220221"/>
        <n v="20220222"/>
        <n v="20220223"/>
        <n v="20220224"/>
        <n v="20220225"/>
        <n v="20220228"/>
        <n v="20220301"/>
        <n v="20220302"/>
        <n v="20220303"/>
        <n v="20220304"/>
        <n v="20220307"/>
        <n v="20220308"/>
        <n v="20220309"/>
        <n v="20220310"/>
        <n v="20220311"/>
        <n v="20220314"/>
        <n v="20220315"/>
        <n v="20220316"/>
        <n v="20220317"/>
        <n v="20220318"/>
        <n v="20220321"/>
        <n v="20220322"/>
        <n v="20220323"/>
        <n v="20220324"/>
        <n v="20220325"/>
        <n v="20220328"/>
        <n v="20220329"/>
        <n v="20220330"/>
        <n v="20220331"/>
        <n v="20220401"/>
        <n v="20220406"/>
        <n v="20220407"/>
        <n v="20220408"/>
        <n v="20220411"/>
        <n v="20220412"/>
        <n v="20220413"/>
        <n v="20220414"/>
        <n v="20220419"/>
        <n v="20220420"/>
        <n v="20220421"/>
        <n v="20220422"/>
        <n v="20220425"/>
        <n v="20220426"/>
        <n v="20220427"/>
        <n v="20220428"/>
        <n v="20220429"/>
        <n v="20220505"/>
        <n v="20220506"/>
        <n v="20220510"/>
        <n v="20220511"/>
        <n v="20220512"/>
        <n v="20220513"/>
        <n v="20220516"/>
        <n v="20220517"/>
        <n v="20220518"/>
        <n v="20220519"/>
        <n v="20220520"/>
        <n v="20220523"/>
        <n v="20220524"/>
        <n v="20220525"/>
        <n v="20220526"/>
        <n v="20220527"/>
        <n v="20220530"/>
        <n v="20220531"/>
        <n v="20220601"/>
        <n v="20220602"/>
        <n v="20220606"/>
        <n v="20220607"/>
        <n v="20220608"/>
        <n v="20220609"/>
        <n v="20220610"/>
        <n v="20220613"/>
        <n v="20220614"/>
        <n v="20220615"/>
        <n v="20220616"/>
        <n v="20220617"/>
        <n v="20220620"/>
        <n v="20220621"/>
        <n v="20220622"/>
        <n v="20220623"/>
        <n v="20220624"/>
        <n v="20220627"/>
        <n v="20220628"/>
        <n v="20220629"/>
        <n v="20220630"/>
        <m/>
      </sharedItems>
    </cacheField>
    <cacheField name="委托日期" numFmtId="0">
      <sharedItems containsBlank="1" containsNumber="1" containsInteger="1" containsMixedTypes="1" count="1121">
        <s v="20110708"/>
        <s v="20110711"/>
        <s v="20110714"/>
        <s v="20110718"/>
        <s v="20110725"/>
        <s v="20110805"/>
        <s v="20110810"/>
        <s v="20110811"/>
        <s v="20110812"/>
        <s v="20110818"/>
        <s v="20110823"/>
        <s v="20110826"/>
        <s v="20110920"/>
        <s v="20110921"/>
        <s v="20110922"/>
        <s v="20111010"/>
        <s v="20111013"/>
        <s v="20111014"/>
        <s v="20111019"/>
        <s v="20111101"/>
        <s v="20111104"/>
        <s v="20111122"/>
        <s v="20111220"/>
        <s v="20111221"/>
        <s v="20120305"/>
        <s v="20120308"/>
        <s v="20120312"/>
        <s v="20120313"/>
        <s v="20120320"/>
        <s v="20120608"/>
        <s v="20120618"/>
        <s v="20120620"/>
        <s v="20120920"/>
        <s v="20121220"/>
        <s v="20121228"/>
        <s v="20130110"/>
        <s v="20130225"/>
        <s v="20130320"/>
        <s v="20130520"/>
        <s v="20130613"/>
        <s v="20130618"/>
        <s v="20130620"/>
        <s v="20130626"/>
        <s v="20130716"/>
        <s v="20130724"/>
        <s v="20130802"/>
        <s v="20130805"/>
        <s v="20130819"/>
        <s v="20130821"/>
        <s v="20130826"/>
        <s v="20130829"/>
        <s v="20130830"/>
        <s v="20130904"/>
        <s v="20130910"/>
        <s v="20130911"/>
        <s v="20130913"/>
        <s v="20130918"/>
        <s v="20130923"/>
        <s v="20130924"/>
        <s v="20130925"/>
        <s v="20130926"/>
        <s v="20131008"/>
        <s v="20131009"/>
        <s v="20131015"/>
        <s v="20131016"/>
        <s v="20131023"/>
        <s v="20131024"/>
        <s v="20131029"/>
        <s v="20131101"/>
        <s v="20131107"/>
        <s v="20131111"/>
        <s v="20131112"/>
        <s v="20131113"/>
        <s v="20131115"/>
        <s v="20131118"/>
        <s v="20131119"/>
        <s v="20131121"/>
        <s v="20131126"/>
        <s v="20131127"/>
        <s v="20131128"/>
        <s v="20131129"/>
        <s v="20131203"/>
        <s v="20131220"/>
        <s v="20140129"/>
        <s v="20140318"/>
        <s v="20140320"/>
        <s v="20140321"/>
        <s v="20140521"/>
        <s v="20140529"/>
        <s v="20140616"/>
        <s v="20140617"/>
        <s v="20140619"/>
        <s v="20140620"/>
        <s v="20140627"/>
        <s v="20140714"/>
        <s v="20140718"/>
        <s v="20140722"/>
        <s v="0"/>
        <s v="20140724"/>
        <s v="20140725"/>
        <s v="20140728"/>
        <s v="20140729"/>
        <s v="20140730"/>
        <s v="20140801"/>
        <s v="20140813"/>
        <s v="20140815"/>
        <s v="20140818"/>
        <s v="20140819"/>
        <s v="20140821"/>
        <s v="20140822"/>
        <s v="20140825"/>
        <s v="20140826"/>
        <s v="20140827"/>
        <s v="20140829"/>
        <s v="20140902"/>
        <s v="20140903"/>
        <s v="20140904"/>
        <s v="20140905"/>
        <s v="20140915"/>
        <s v="20140916"/>
        <s v="20140917"/>
        <s v="20140918"/>
        <s v="20140919"/>
        <s v="20140922"/>
        <s v="20140923"/>
        <s v="20140924"/>
        <s v="20140926"/>
        <s v="20141013"/>
        <s v="20141015"/>
        <s v="20141016"/>
        <s v="20141110"/>
        <s v="20141124"/>
        <s v="20141125"/>
        <s v="20141128"/>
        <s v="20141203"/>
        <s v="20141205"/>
        <s v="20141208"/>
        <s v="20141210"/>
        <s v="20141211"/>
        <s v="20141216"/>
        <s v="20141219"/>
        <s v="20141222"/>
        <s v="20141224"/>
        <s v="20150106"/>
        <s v="20150113"/>
        <s v="20150202"/>
        <s v="20150205"/>
        <s v="20150209"/>
        <s v="20150211"/>
        <s v="20150212"/>
        <s v="20150226"/>
        <s v="20150306"/>
        <s v="20150320"/>
        <s v="20150401"/>
        <s v="20150403"/>
        <s v="20150428"/>
        <s v="20150430"/>
        <s v="20150602"/>
        <s v="20150609"/>
        <s v="20150619"/>
        <s v="20150703"/>
        <s v="20150706"/>
        <s v="20150707"/>
        <s v="20150708"/>
        <s v="20150709"/>
        <s v="20150710"/>
        <s v="20150713"/>
        <s v="20150717"/>
        <s v="20150720"/>
        <s v="20150721"/>
        <s v="20150722"/>
        <s v="20150723"/>
        <s v="20150724"/>
        <s v="20150727"/>
        <s v="20150728"/>
        <s v="20150730"/>
        <s v="20150731"/>
        <s v="20150803"/>
        <s v="20150804"/>
        <s v="20150805"/>
        <s v="20150806"/>
        <s v="20150807"/>
        <s v="20150810"/>
        <s v="20150811"/>
        <s v="20150812"/>
        <s v="20150813"/>
        <s v="20150814"/>
        <s v="20150821"/>
        <s v="20150825"/>
        <s v="20150826"/>
        <s v="20150827"/>
        <s v="20150828"/>
        <s v="20150831"/>
        <s v="20150901"/>
        <s v="20150909"/>
        <s v="20150911"/>
        <s v="20150917"/>
        <s v="20150921"/>
        <s v="20150923"/>
        <s v="20150924"/>
        <s v="20150930"/>
        <s v="20151008"/>
        <s v="20151012"/>
        <s v="20151110"/>
        <s v="20151209"/>
        <s v="20151210"/>
        <s v="20151216"/>
        <s v="20151221"/>
        <s v="20160104"/>
        <s v="20160112"/>
        <s v="20160122"/>
        <s v="20160127"/>
        <s v="20160201"/>
        <s v="20160204"/>
        <s v="20160225"/>
        <s v="20160226"/>
        <s v="20160303"/>
        <s v="20160304"/>
        <s v="20160308"/>
        <s v="20160309"/>
        <s v="20160314"/>
        <s v="20160321"/>
        <s v="20160412"/>
        <s v="20160414"/>
        <s v="20160420"/>
        <s v="20160421"/>
        <s v="20160422"/>
        <s v="20160516"/>
        <s v="20160531"/>
        <s v="20160603"/>
        <s v="20160613"/>
        <s v="20160620"/>
        <s v="20160621"/>
        <s v="20160623"/>
        <s v="20160624"/>
        <s v="20160627"/>
        <s v="20160629"/>
        <s v="20160630"/>
        <s v="20160701"/>
        <s v="20160704"/>
        <s v="20160706"/>
        <s v="20160707"/>
        <s v="20160708"/>
        <s v="20160711"/>
        <s v="20160712"/>
        <s v="20160714"/>
        <s v="20160715"/>
        <s v="20160718"/>
        <s v="20160719"/>
        <s v="20160720"/>
        <s v="20160722"/>
        <s v="20160727"/>
        <s v="20160728"/>
        <m/>
        <s v="20160801"/>
        <s v="20160803"/>
        <s v="20160804"/>
        <s v="20160805"/>
        <s v="20160808"/>
        <s v="20160815"/>
        <s v="20160816"/>
        <s v="20160817"/>
        <s v="20160818"/>
        <s v="20160822"/>
        <s v="20160824"/>
        <s v="20160825"/>
        <s v="20160826"/>
        <s v="20160829"/>
        <s v="20160830"/>
        <s v="20160831"/>
        <s v="20160901"/>
        <s v="20160902"/>
        <s v="20160906"/>
        <s v="20160909"/>
        <s v="20160912"/>
        <s v="20160920"/>
        <s v="20160923"/>
        <s v="20161017"/>
        <s v="20161019"/>
        <s v="20161024"/>
        <s v="20161026"/>
        <s v="20161027"/>
        <s v="20161103"/>
        <s v="20161104"/>
        <s v="20161108"/>
        <s v="20161109"/>
        <s v="20161110"/>
        <s v="20161114"/>
        <s v="20161115"/>
        <s v="20161116"/>
        <s v="20161117"/>
        <s v="20161118"/>
        <s v="20161121"/>
        <s v="20161122"/>
        <s v="20161123"/>
        <s v="20161124"/>
        <s v="20161125"/>
        <s v="20161129"/>
        <s v="20161130"/>
        <s v="20161202"/>
        <s v="20161205"/>
        <s v="20161206"/>
        <s v="20161207"/>
        <s v="20161213"/>
        <s v="20161215"/>
        <s v="20161216"/>
        <s v="20161220"/>
        <s v="20161226"/>
        <s v="20161227"/>
        <s v="20161228"/>
        <s v="20161229"/>
        <s v="20161230"/>
        <s v="20170104"/>
        <s v="20170105"/>
        <s v="20170106"/>
        <s v="20170109"/>
        <s v="20170111"/>
        <s v="20170116"/>
        <s v="20170119"/>
        <s v="20170120"/>
        <s v="20170123"/>
        <s v="20170124"/>
        <s v="20170125"/>
        <s v="20170126"/>
        <s v="20170203"/>
        <s v="20170206"/>
        <s v="20170207"/>
        <s v="20170208"/>
        <s v="20170209"/>
        <s v="20170210"/>
        <s v="20170213"/>
        <s v="20170214"/>
        <s v="20170215"/>
        <s v="20170216"/>
        <s v="20170217"/>
        <s v="20170220"/>
        <s v="20170227"/>
        <s v="20170313"/>
        <s v="20170316"/>
        <s v="20170317"/>
        <s v="20170320"/>
        <s v="20170323"/>
        <s v="20170324"/>
        <s v="20170327"/>
        <s v="20170328"/>
        <s v="20170329"/>
        <s v="20170330"/>
        <s v="20170405"/>
        <s v="20170410"/>
        <s v="20170414"/>
        <s v="20170504"/>
        <s v="20170505"/>
        <s v="20170509"/>
        <s v="20170510"/>
        <s v="20170602"/>
        <s v="20170615"/>
        <s v="20170619"/>
        <s v="20170620"/>
        <s v="20170623"/>
        <s v="20170626"/>
        <s v="20170629"/>
        <s v="20170704"/>
        <s v="20170705"/>
        <s v="20170719"/>
        <s v="20170720"/>
        <s v="20170721"/>
        <s v="20170724"/>
        <s v="20170725"/>
        <s v="20170726"/>
        <s v="20170727"/>
        <s v="20170728"/>
        <s v="20170731"/>
        <s v="20170801"/>
        <s v="20170802"/>
        <s v="20170803"/>
        <s v="20170807"/>
        <s v="20170808"/>
        <s v="20170809"/>
        <s v="20170810"/>
        <s v="20170811"/>
        <s v="20170814"/>
        <s v="20170815"/>
        <s v="20170816"/>
        <s v="20170817"/>
        <s v="20170818"/>
        <s v="20170822"/>
        <s v="20170823"/>
        <s v="20170824"/>
        <s v="20170829"/>
        <s v="20170831"/>
        <s v="20170906"/>
        <s v="20170907"/>
        <s v="20170911"/>
        <s v="20170912"/>
        <s v="20170913"/>
        <s v="20170918"/>
        <s v="20170919"/>
        <s v="20170920"/>
        <s v="20170921"/>
        <s v="20170922"/>
        <s v="20170925"/>
        <s v="20170926"/>
        <s v="20170927"/>
        <s v="20170928"/>
        <s v="20170929"/>
        <s v="20171009"/>
        <s v="20171010"/>
        <s v="20171013"/>
        <s v="20171016"/>
        <s v="20171018"/>
        <s v="20171019"/>
        <s v="20171023"/>
        <s v="20171025"/>
        <s v="20171026"/>
        <s v="20171027"/>
        <s v="20171030"/>
        <s v="20171031"/>
        <s v="20171101"/>
        <s v="20171102"/>
        <s v="20171103"/>
        <s v="20171108"/>
        <s v="20171110"/>
        <s v="20171113"/>
        <s v="20171114"/>
        <s v="20171115"/>
        <s v="20171116"/>
        <s v="20171120"/>
        <s v="20171121"/>
        <s v="20171123"/>
        <s v="20171201"/>
        <s v="20171204"/>
        <s v="20171205"/>
        <s v="20171206"/>
        <s v="20171207"/>
        <s v="20171208"/>
        <s v="20171211"/>
        <s v="20171215"/>
        <s v="20171218"/>
        <s v="20171220"/>
        <s v="20171221"/>
        <s v="20171225"/>
        <s v="20171227"/>
        <s v="20171228"/>
        <s v="20171229"/>
        <s v="20180102"/>
        <s v="20180103"/>
        <s v="20180108"/>
        <s v="20180104"/>
        <s v="20180109"/>
        <s v="20180110"/>
        <s v="20180111"/>
        <s v="20180115"/>
        <s v="20180116"/>
        <s v="20180117"/>
        <s v="20180118"/>
        <s v="20180119"/>
        <s v="20180123"/>
        <s v="20180124"/>
        <s v="20180125"/>
        <s v="20180126"/>
        <s v="20180129"/>
        <s v="20180130"/>
        <s v="20180131"/>
        <s v="20180201"/>
        <s v="20180202"/>
        <s v="20180205"/>
        <s v="20180206"/>
        <s v="20180207"/>
        <s v="20180208"/>
        <s v="20180209"/>
        <s v="20180212"/>
        <s v="20180213"/>
        <s v="20180214"/>
        <s v="20180222"/>
        <s v="20180223"/>
        <s v="20180226"/>
        <s v="20180227"/>
        <s v="20180228"/>
        <s v="20180301"/>
        <s v="20180302"/>
        <s v="20180305"/>
        <s v="20180306"/>
        <s v="20180307"/>
        <s v="20180320"/>
        <s v="20180323"/>
        <s v="20180329"/>
        <s v="20180330"/>
        <s v="20180402"/>
        <s v="20180403"/>
        <s v="20180404"/>
        <s v="20180417"/>
        <s v="20180423"/>
        <s v="20180425"/>
        <s v="20180426"/>
        <s v="20180427"/>
        <s v="20180601"/>
        <s v="20180605"/>
        <s v="20180606"/>
        <s v="20180607"/>
        <s v="20180608"/>
        <s v="20180620"/>
        <s v="20180626"/>
        <s v="20180702"/>
        <s v="20180801"/>
        <s v="20180808"/>
        <s v="20180816"/>
        <s v="20180817"/>
        <s v="20180821"/>
        <s v="20180903"/>
        <s v="20180904"/>
        <s v="20180914"/>
        <s v="20180920"/>
        <s v="20181015"/>
        <s v="20181203"/>
        <s v="20181217"/>
        <s v="20181220"/>
        <s v="20190315"/>
        <s v="20190313"/>
        <s v="20190320"/>
        <s v="20190403"/>
        <s v="20190417"/>
        <s v="20190418"/>
        <s v="20190524"/>
        <s v="20190620"/>
        <s v="20190626"/>
        <s v="20190920"/>
        <s v="20191203"/>
        <s v="20191204"/>
        <s v="20191206"/>
        <s v="20191209"/>
        <s v="20191210"/>
        <s v="20191216"/>
        <s v="20191220"/>
        <s v="20200121"/>
        <s v="20200205"/>
        <s v="20200210"/>
        <s v="20200305"/>
        <s v="20200309"/>
        <s v="20200305_x0009_"/>
        <s v="20200310_x0009_"/>
        <s v="20200309_x0009_"/>
        <s v="20200311_x0009_"/>
        <s v="20200312_x0009_"/>
        <s v="20200313"/>
        <s v="20200313_x0009_"/>
        <s v="20200316_x0009_"/>
        <s v="20200317_x0009_"/>
        <s v="20200318_x0009_"/>
        <s v="20200319"/>
        <s v="20200319_x0009_"/>
        <s v="20200320"/>
        <s v="20200320_x0009_"/>
        <s v="20200323_x0009_"/>
        <s v="20200324_x0009_"/>
        <s v="20200325_x0009_"/>
        <s v="20200326_x0009_"/>
        <s v="20200327_x0009_"/>
        <s v="20200330_x0009_"/>
        <s v="20200331_x0009_"/>
        <s v="20200401_x0009_"/>
        <s v="20200402_x0009_"/>
        <s v="20200403_x0009_"/>
        <s v="20200407_x0009_"/>
        <s v="20200408_x0009_"/>
        <s v="20200409_x0009_"/>
        <s v="20200414_x0009_"/>
        <s v="20200415_x0009_"/>
        <s v="20200416_x0009_"/>
        <s v="20200417_x0009_"/>
        <s v="20200420_x0009_"/>
        <s v="20200421_x0009_"/>
        <s v="20200422_x0009_"/>
        <s v="20200423_x0009_"/>
        <s v="20200424_x0009_"/>
        <s v="20200427_x0009_"/>
        <s v="20200428_x0009_"/>
        <s v="20200429_x0009_"/>
        <s v="20200506_x0009_"/>
        <s v="20200507_x0009_"/>
        <s v="20200508_x0009_"/>
        <s v="20200511_x0009_"/>
        <s v="20200512_x0009_"/>
        <s v="20200513_x0009_"/>
        <s v="20200514"/>
        <s v="20200514_x0009_"/>
        <s v="20200515_x0009_"/>
        <s v="20200518_x0009_"/>
        <s v="20200519_x0009_"/>
        <s v="20200520"/>
        <s v="20200520_x0009_"/>
        <s v="20200521"/>
        <s v="20200521_x0009_"/>
        <s v="20200522"/>
        <s v="20200522_x0009_"/>
        <s v="20200525"/>
        <s v="20200525_x0009_"/>
        <s v="20200526"/>
        <s v="20200526_x0009_"/>
        <s v="20200527"/>
        <s v="20200527_x0009_"/>
        <s v="20200528"/>
        <s v="20200528_x0009_"/>
        <s v="20200529"/>
        <s v="20200529_x0009_"/>
        <s v="20200601"/>
        <s v="20200601_x0009_"/>
        <s v="20200602"/>
        <s v="20200602_x0009_"/>
        <s v="20200603"/>
        <s v="20200603_x0009_"/>
        <s v="20200604"/>
        <s v="20200604_x0009_"/>
        <s v="20200605"/>
        <s v="20200605_x0009_"/>
        <s v="20200608"/>
        <s v="20200608_x0009_"/>
        <s v="20200609"/>
        <s v="20200609_x0009_"/>
        <s v="20200610_x0009_"/>
        <s v="20200611_x0009_"/>
        <s v="20200612"/>
        <s v="20200612_x0009_"/>
        <s v="20200615"/>
        <s v="20200615_x0009_"/>
        <s v="20200616"/>
        <s v="20200616_x0009_"/>
        <s v="20200617"/>
        <s v="20200617_x0009_"/>
        <s v="20200618"/>
        <s v="20200618_x0009_"/>
        <s v="20200619"/>
        <s v="20200619_x0009_"/>
        <s v="20200622"/>
        <s v="20200622_x0009_"/>
        <s v="20200623"/>
        <s v="20200623_x0009_"/>
        <s v="20200624"/>
        <s v="20200624_x0009_"/>
        <s v="20200629"/>
        <s v="20200629_x0009_"/>
        <s v="20200630_x0009_"/>
        <s v="20200701"/>
        <s v="20200702"/>
        <s v="20200703"/>
        <s v="20200706"/>
        <s v="20200707"/>
        <s v="20200708"/>
        <s v="20200709"/>
        <s v="20200710"/>
        <s v="20200713"/>
        <s v="20200714"/>
        <s v="20200715"/>
        <s v="20200716"/>
        <s v="20200717"/>
        <s v="20200720"/>
        <s v="20200721"/>
        <s v="20200722"/>
        <s v="20200723"/>
        <s v="20200724"/>
        <s v="20200727"/>
        <s v="20200728"/>
        <s v="20200729"/>
        <s v="20200730"/>
        <s v="20200731"/>
        <s v="20200803"/>
        <s v="20200804"/>
        <s v="20200805"/>
        <s v="20200806"/>
        <s v="20200807"/>
        <s v="20200810"/>
        <s v="20200811"/>
        <s v="20200812"/>
        <s v="20200813"/>
        <s v="20200814"/>
        <s v="20200817"/>
        <s v="20200818"/>
        <s v="20200819"/>
        <s v="20200820"/>
        <s v="20200821"/>
        <s v="20200824"/>
        <s v="20200825"/>
        <s v="20200826"/>
        <s v="20200827"/>
        <s v="20200828"/>
        <s v="20200831"/>
        <s v="20200901"/>
        <s v="20200902"/>
        <s v="20200903"/>
        <s v="20200904"/>
        <s v="20200907"/>
        <s v="20200908"/>
        <s v="20200909"/>
        <s v="20200910"/>
        <s v="20200911"/>
        <s v="20200914"/>
        <s v="20200915"/>
        <s v="20200916"/>
        <s v="20200917"/>
        <s v="20200918"/>
        <s v="20200921"/>
        <s v="20200922"/>
        <s v="20200923"/>
        <s v="20200924"/>
        <s v="20200925"/>
        <s v="20200928"/>
        <s v="20200929"/>
        <s v="20200930"/>
        <s v="20201009"/>
        <s v="20201012"/>
        <s v="20201013"/>
        <s v="20201014"/>
        <s v="20201015"/>
        <s v="20201016"/>
        <s v="20201019"/>
        <s v="20201020"/>
        <s v="20201021"/>
        <s v="20201022"/>
        <s v="20201023"/>
        <s v="20201026"/>
        <s v="20201027"/>
        <s v="20201028"/>
        <s v="20201029"/>
        <s v="20201030"/>
        <s v="20201102"/>
        <s v="20201103"/>
        <s v="20201104"/>
        <s v="20201105"/>
        <s v="20201106"/>
        <s v="20201109"/>
        <s v="20201110"/>
        <s v="20201111"/>
        <s v="20201112"/>
        <s v="20201113"/>
        <s v="20201116"/>
        <s v="20201117"/>
        <s v="20201118"/>
        <s v="20201119"/>
        <s v="20201120"/>
        <s v="20201123"/>
        <s v="20201124"/>
        <s v="20201125"/>
        <s v="20201126"/>
        <s v="20201127"/>
        <s v="20201130"/>
        <s v="20201201"/>
        <s v="20201202"/>
        <s v="20201203"/>
        <s v="20201204"/>
        <s v="20201207"/>
        <s v="20201208"/>
        <s v="20201209"/>
        <s v="20201210"/>
        <s v="20201211"/>
        <s v="20201214"/>
        <s v="20201215"/>
        <s v="20201216"/>
        <s v="20201217"/>
        <s v="20201218"/>
        <s v="20201221"/>
        <s v="20201222"/>
        <s v="20201223"/>
        <s v="20201224"/>
        <s v="20201228"/>
        <s v="20201229"/>
        <s v="20201230"/>
        <s v="20201231"/>
        <s v="20210104"/>
        <s v="20210105"/>
        <s v="20210106"/>
        <s v="20210107"/>
        <s v="20210108"/>
        <s v="20210111"/>
        <s v="20210112"/>
        <s v="20210113"/>
        <s v="20210114"/>
        <s v="20210115"/>
        <s v="20210118"/>
        <s v="20210119"/>
        <s v="20210120"/>
        <s v="20210121"/>
        <s v="20210122"/>
        <s v="20210125"/>
        <s v="20210126"/>
        <s v="20210127"/>
        <s v="20210128"/>
        <s v="20210129"/>
        <s v="20210201"/>
        <s v="20210202"/>
        <s v="20210203"/>
        <s v="20210204"/>
        <s v="20210205"/>
        <s v="20210208"/>
        <s v="20210209"/>
        <s v="20210210"/>
        <s v="20210218"/>
        <s v="20210219"/>
        <s v="20210222"/>
        <s v="20210223"/>
        <s v="20210224"/>
        <s v="20210225"/>
        <s v="20210226"/>
        <s v="20210301"/>
        <s v="20210302"/>
        <s v="20210303"/>
        <s v="20210304"/>
        <s v="20210305"/>
        <s v="20210308"/>
        <s v="20210309"/>
        <s v="20210310"/>
        <s v="20210311"/>
        <s v="20210312"/>
        <s v="20210315"/>
        <s v="20210316"/>
        <s v="20210317"/>
        <s v="20210318"/>
        <s v="20210319"/>
        <s v="20210322"/>
        <s v="20210323"/>
        <s v="20210324"/>
        <s v="20210325"/>
        <s v="20210326"/>
        <s v="20210329"/>
        <s v="20210330"/>
        <s v="20210331"/>
        <s v="20210401"/>
        <s v="20210407"/>
        <s v="20210408"/>
        <s v="20210409"/>
        <s v="20210412"/>
        <s v="20210413"/>
        <s v="20210414"/>
        <s v="20210415"/>
        <s v="20210416"/>
        <s v="20210419"/>
        <s v="20210420"/>
        <s v="20210421"/>
        <s v="20210422"/>
        <s v="20210423"/>
        <s v="20210426"/>
        <s v="20210427"/>
        <s v="20210428"/>
        <s v="20210429"/>
        <s v="20210430"/>
        <s v="20210506"/>
        <s v="20210507"/>
        <s v="20210510"/>
        <s v="20210511"/>
        <s v="20210512"/>
        <s v="20210513"/>
        <s v="20210514"/>
        <s v="20210517"/>
        <s v="20210518"/>
        <s v="20210519"/>
        <s v="20210520"/>
        <s v="20210521"/>
        <s v="20210524"/>
        <s v="20210525"/>
        <s v="20210526"/>
        <s v="20210527"/>
        <s v="20210528"/>
        <s v="20210531"/>
        <s v="20210601"/>
        <s v="20210602"/>
        <s v="20210603"/>
        <s v="20210604"/>
        <s v="20210607"/>
        <s v="20210608"/>
        <s v="20210609"/>
        <s v="20210610"/>
        <s v="20210611"/>
        <s v="20210615"/>
        <s v="20210616"/>
        <s v="20210617"/>
        <s v="20210618"/>
        <s v="20210621"/>
        <s v="20210622"/>
        <s v="20210623"/>
        <s v="20210624"/>
        <s v="20210625"/>
        <s v="20210628"/>
        <s v="20210629"/>
        <s v="20210630"/>
        <s v="20210701"/>
        <s v="20210702"/>
        <s v="20210705"/>
        <s v="20210706"/>
        <s v="20210707"/>
        <s v="20210708"/>
        <s v="20210709"/>
        <s v="20210712"/>
        <s v="20210713"/>
        <s v="20210714"/>
        <s v="20210715"/>
        <s v="20210716"/>
        <s v="20210719"/>
        <s v="20210720"/>
        <s v="20210721"/>
        <s v="20210722"/>
        <s v="20210723"/>
        <s v="20210726"/>
        <s v="20210727"/>
        <s v="20210728"/>
        <s v="20210729"/>
        <s v="20210730"/>
        <s v="20210802"/>
        <s v="20210803"/>
        <s v="20210804"/>
        <s v="20210805"/>
        <s v="20210806"/>
        <s v="20210809"/>
        <s v="20210810"/>
        <s v="20210811"/>
        <s v="20210812"/>
        <s v="20210813"/>
        <s v="20210816"/>
        <s v="20210817"/>
        <s v="20210818"/>
        <s v="20210819"/>
        <s v="20210820"/>
        <s v="20210823"/>
        <s v="20210824"/>
        <s v="20210825"/>
        <s v="20210826"/>
        <s v="20210827"/>
        <s v="20210830"/>
        <s v="20210831"/>
        <s v="20210901"/>
        <s v="20210902"/>
        <s v="20210903"/>
        <s v="20210906"/>
        <s v="20210907"/>
        <s v="20210908"/>
        <s v="20210909"/>
        <s v="20210910"/>
        <s v="20210913"/>
        <s v="20210914"/>
        <s v="20210915"/>
        <s v="20210916"/>
        <s v="20210917"/>
        <s v="20210923"/>
        <s v="20210924"/>
        <s v="20210927"/>
        <s v="20210928"/>
        <s v="20210929"/>
        <s v="20210930"/>
        <s v="20211008"/>
        <s v="20211011"/>
        <s v="20211012"/>
        <s v="20211013"/>
        <s v="20211014"/>
        <s v="20211015"/>
        <s v="20211018"/>
        <s v="20211019"/>
        <s v="20211020"/>
        <s v="20211021"/>
        <s v="20211022"/>
        <s v="20211025"/>
        <s v="20211026"/>
        <s v="20211027"/>
        <s v="20211028"/>
        <s v="20211029"/>
        <s v="20211101"/>
        <s v="20211102"/>
        <s v="20211103"/>
        <s v="20211104"/>
        <s v="20211105"/>
        <s v="20211108"/>
        <s v="20211109"/>
        <s v="20211110"/>
        <s v="20211111"/>
        <s v="20211112"/>
        <s v="20211115"/>
        <s v="20211116"/>
        <s v="20211117"/>
        <s v="20211118"/>
        <s v="20211119"/>
        <s v="20211122"/>
        <s v="20211123"/>
        <s v="20211124"/>
        <s v="20211125"/>
        <s v="20211126"/>
        <s v="20211129"/>
        <s v="20211130"/>
        <s v="20211201"/>
        <s v="20211202"/>
        <s v="20211203"/>
        <s v="20211206"/>
        <s v="20211207"/>
        <s v="20211208"/>
        <s v="20211209"/>
        <s v="20211210"/>
        <s v="20211213"/>
        <s v="20211214"/>
        <s v="20211215"/>
        <s v="20211216"/>
        <s v="20211217"/>
        <s v="20211220"/>
        <s v="20211221"/>
        <s v="20211222"/>
        <s v="20211223"/>
        <s v="20211224"/>
        <s v="20211227"/>
        <s v="20211228"/>
        <s v="20211229"/>
        <s v="20211230"/>
        <s v="20211231"/>
        <n v="20220104"/>
        <n v="20220105"/>
        <n v="20220106"/>
        <n v="20220107"/>
        <n v="20220110"/>
        <n v="20220111"/>
        <n v="20220112"/>
        <n v="20220113"/>
        <n v="20220114"/>
        <n v="20220117"/>
        <n v="20220118"/>
        <n v="20220119"/>
        <n v="20220120"/>
        <n v="20220121"/>
        <n v="20220124"/>
        <n v="20220125"/>
        <n v="20220126"/>
        <n v="20220127"/>
        <n v="20220128"/>
        <n v="20220207"/>
        <n v="20220208"/>
        <n v="20220209"/>
        <n v="20220210"/>
        <n v="20220211"/>
        <n v="20220214"/>
        <n v="20220215"/>
        <n v="20220216"/>
        <n v="20220217"/>
        <n v="20220218"/>
        <n v="20220221"/>
        <n v="20220222"/>
        <n v="20220223"/>
        <n v="20220224"/>
        <n v="20220225"/>
        <n v="20220228"/>
        <n v="20220301"/>
        <n v="20220302"/>
        <n v="20220303"/>
        <n v="20220304"/>
        <n v="20220307"/>
        <n v="20220308"/>
        <n v="20220309"/>
        <n v="20220310"/>
        <n v="20220311"/>
        <n v="20220314"/>
        <n v="20220315"/>
        <n v="20220316"/>
        <n v="20220317"/>
        <n v="20220318"/>
        <n v="20220321"/>
        <n v="20220322"/>
        <n v="0"/>
        <n v="20220323"/>
        <n v="20220324"/>
        <n v="20220325"/>
        <n v="20220328"/>
        <n v="20220329"/>
        <n v="20220330"/>
        <n v="20220331"/>
        <n v="20220401"/>
        <n v="20220406"/>
        <n v="20220407"/>
        <n v="20220408"/>
        <n v="20220411"/>
        <n v="20220412"/>
        <n v="20220413"/>
        <n v="20220414"/>
        <n v="20220419"/>
        <n v="20220420"/>
        <n v="20220421"/>
        <n v="20220422"/>
        <n v="20220425"/>
        <n v="20220426"/>
        <n v="20220427"/>
        <n v="20220428"/>
        <n v="20220429"/>
        <n v="20220505"/>
        <n v="20220506"/>
        <n v="20220510"/>
        <n v="20220511"/>
        <n v="20220512"/>
        <n v="20220513"/>
        <n v="20220516"/>
        <n v="20220517"/>
        <n v="20220518"/>
        <n v="20220519"/>
        <n v="20220520"/>
        <n v="20220523"/>
        <n v="20220524"/>
        <n v="20220525"/>
        <n v="20220526"/>
        <n v="20220527"/>
        <n v="20220530"/>
        <n v="20220531"/>
        <n v="20220601"/>
        <n v="20220602"/>
        <n v="20220606"/>
        <n v="20220607"/>
        <n v="20220608"/>
        <n v="20220609"/>
        <n v="20220610"/>
        <n v="20220613"/>
        <n v="20220614"/>
        <n v="20220615"/>
        <n v="20220616"/>
        <n v="20220617"/>
        <n v="20220620"/>
        <n v="20220621"/>
        <n v="20220622"/>
        <n v="20220623"/>
        <n v="20220624"/>
        <n v="20220627"/>
        <n v="20220628"/>
        <n v="20220629"/>
        <n v="20220630"/>
      </sharedItems>
    </cacheField>
    <cacheField name="业务类型" numFmtId="0">
      <sharedItems containsBlank="1" count="46">
        <s v="指定交易"/>
        <s v="银行转证券"/>
        <s v="证券买入"/>
        <s v="证券卖出"/>
        <s v="证券转银行"/>
        <s v="利息归本"/>
        <s v="红利入账"/>
        <s v="融券回购"/>
        <s v="融券购回"/>
        <s v="股息红利差异扣税"/>
        <s v="ETF 申购退款"/>
        <s v="ETF 基金赎回"/>
        <s v="股份转出"/>
        <s v="股份转入"/>
        <s v="开放基金拆分减股"/>
        <s v="开放基金拆分增股"/>
        <s v="开放基金申购"/>
        <s v="开放基金合并减股"/>
        <s v="开放基金合并增股"/>
        <s v="开放基金赎回"/>
        <s v="基金下折"/>
        <s v="基金上折"/>
        <s v="红股入账"/>
        <s v="基金申购拨出"/>
        <s v="基金赎回拨入"/>
        <s v="基金红利拨入"/>
        <s v="配售缴款"/>
        <s v="配售股份"/>
        <s v="新股入帐"/>
        <s v="删除过期证券"/>
        <s v="资管计划实时取现"/>
        <s v="资管T0取现拨入"/>
        <s v="债券兑息"/>
        <s v="债券兑息兑付扣税"/>
        <s v="中签股份下账"/>
        <s v="港股通股票买入_x0009_"/>
        <s v="港股通组合费_x0009_"/>
        <s v="港股通红利发放_x0009_"/>
        <s v="港股通组合费"/>
        <s v="港股通股票买入"/>
        <s v="港股通股票卖出"/>
        <s v="港股通红利发放"/>
        <s v="新股申购"/>
        <s v="申购还款"/>
        <s v="港股通卖出"/>
        <m/>
      </sharedItems>
    </cacheField>
    <cacheField name="证券代码" numFmtId="0">
      <sharedItems containsBlank="1" count="94">
        <s v="799999"/>
        <m/>
        <s v="600664"/>
        <s v="600829"/>
        <s v="002500"/>
        <s v="600270"/>
        <s v="600583"/>
        <s v="131801"/>
        <s v="131802"/>
        <s v="002609"/>
        <s v="000606"/>
        <s v="131803"/>
        <s v="601607"/>
        <s v="601398"/>
        <s v="122535"/>
        <s v="600066"/>
        <s v="511990"/>
        <s v="601166"/>
        <s v="601088"/>
        <s v="150181"/>
        <s v="511991"/>
        <s v="000868"/>
        <s v="150182"/>
        <s v="161024"/>
        <s v="600219"/>
        <s v="601179"/>
        <s v="510300"/>
        <s v="150175"/>
        <s v="150295"/>
        <s v="150296"/>
        <s v="160136"/>
        <s v="600789"/>
        <s v="600597"/>
        <s v="002197"/>
        <s v="150209"/>
        <s v="161026"/>
        <s v="162411"/>
        <s v="600886"/>
        <s v="000939"/>
        <s v="000667"/>
        <s v="002717"/>
        <s v="600297"/>
        <s v="600894"/>
        <s v="002183"/>
        <s v="600575"/>
        <s v="600165"/>
        <s v="600365"/>
        <s v="000700"/>
        <s v="150197"/>
        <s v="AA0007"/>
        <s v="002543"/>
        <s v="000601"/>
        <s v="131811"/>
        <s v="131810"/>
        <s v="150276"/>
        <s v="040008"/>
        <s v="150153"/>
        <s v="300463"/>
        <s v="000670"/>
        <s v="300195"/>
        <s v="072271"/>
        <s v="128016"/>
        <s v="000768"/>
        <s v="002036"/>
        <s v="072318"/>
        <s v="128019"/>
        <s v="150201"/>
        <s v="072284"/>
        <s v="730025"/>
        <s v="072142"/>
        <s v="128023"/>
        <s v="600025"/>
        <s v="119931"/>
        <s v="128024"/>
        <s v="002925"/>
        <s v="732506"/>
        <s v="603506"/>
        <s v="159949"/>
        <s v="002015"/>
        <s v="002958"/>
        <s v="600028"/>
        <s v="00386"/>
        <s v=""/>
        <s v="502012"/>
        <s v="003016"/>
        <s v="01099"/>
        <s v="600722"/>
        <s v="002484"/>
        <s v="300355"/>
        <s v="159781"/>
        <s v="889688"/>
        <s v="001227"/>
        <s v="787047"/>
        <s v="688047"/>
      </sharedItems>
    </cacheField>
    <cacheField name="证券名称" numFmtId="0">
      <sharedItems containsBlank="1" count="100">
        <s v="登记指定"/>
        <m/>
        <s v="哈药股份"/>
        <s v="三精制药"/>
        <s v="山西证券"/>
        <s v="外运发展"/>
        <s v="海油工程"/>
        <s v="Ｒ-007"/>
        <s v="Ｒ-014"/>
        <s v="捷顺科技"/>
        <s v="青海明胶"/>
        <s v="Ｒ-028"/>
        <s v="上海医药"/>
        <s v="工商银行"/>
        <s v="12苏飞达"/>
        <s v="宇通客车"/>
        <s v="华宝添益"/>
        <s v="兴业银行"/>
        <s v="中国神华"/>
        <s v="军工A"/>
        <s v="添益申赎"/>
        <s v="安凯客车"/>
        <s v="军工B"/>
        <s v="富国军工"/>
        <s v="南山铝业"/>
        <s v="中国西电"/>
        <s v="军工分级"/>
        <s v="300ETF"/>
        <s v="H股A"/>
        <s v="改革A"/>
        <s v="改革B"/>
        <s v="改革基金"/>
        <s v="鲁抗医药"/>
        <s v="光明乳业"/>
        <s v="证通电子"/>
        <s v="国企改A"/>
        <s v="国企改革"/>
        <s v="华宝油气"/>
        <s v="国投电力"/>
        <s v="凯迪生态"/>
        <s v="美好集团"/>
        <s v="岭南园林"/>
        <s v="广汇汽车"/>
        <s v="广日股份"/>
        <s v="怡 亚 通"/>
        <s v="皖江物流"/>
        <s v="新日恒力"/>
        <s v="DR南山铝"/>
        <s v="通葡股份"/>
        <s v="模塑科技"/>
        <s v="有色B"/>
        <s v="银河水星1号集合"/>
        <s v="万和电气"/>
        <s v="韶能股份"/>
        <s v="Ｒ-002"/>
        <s v="Ｒ-001"/>
        <s v="一带一B"/>
        <s v="华安优选"/>
        <s v="创业板B"/>
        <s v="迈克生物"/>
        <s v="盈方微"/>
        <s v="长荣股份"/>
        <s v="雨虹发债"/>
        <s v="新代码"/>
        <s v="雨虹转债"/>
        <s v="中航飞机"/>
        <s v="联创电子"/>
        <s v="久立发债"/>
        <s v="券商B"/>
        <s v="久立转2"/>
        <s v="亚太发债"/>
        <s v="华能申购"/>
        <s v="宁行发债"/>
        <s v="水星1号"/>
        <s v="华能水电"/>
        <s v="盈趣科技"/>
        <s v="宁行转债"/>
        <s v="南都申购"/>
        <s v="创业板50"/>
        <s v="南都物业"/>
        <s v="霞客环保"/>
        <s v="亚太转债"/>
        <s v="青农商行"/>
        <s v="中国石化"/>
        <s v="中国石油_x0009_"/>
        <s v="_x0009_"/>
        <s v="证券B"/>
        <s v=""/>
        <s v="中国石油"/>
        <s v="欣贺股份"/>
        <s v="国药控股"/>
        <s v="银河水星1号"/>
        <s v="金牛化工"/>
        <s v="江海股份"/>
        <s v="蒙草生态"/>
        <s v="科创创业"/>
        <s v="威博液压"/>
        <s v="兰州银行"/>
        <s v="龙芯申购"/>
        <s v="N龙芯"/>
      </sharedItems>
    </cacheField>
    <cacheField name="成交价格" numFmtId="0">
      <sharedItems containsString="0" containsBlank="1" containsNumber="1" minValue="0" maxValue="119.366" count="783">
        <n v="0"/>
        <n v="16.38"/>
        <n v="17.18"/>
        <n v="10.62"/>
        <n v="10.29"/>
        <n v="11.88"/>
        <n v="12.35"/>
        <n v="12.01"/>
        <n v="8.5"/>
        <n v="9.11"/>
        <n v="11.34"/>
        <n v="11.81"/>
        <n v="8.52"/>
        <n v="7.48"/>
        <n v="7.19"/>
        <n v="7.37"/>
        <n v="6.22"/>
        <n v="7.5"/>
        <n v="6.54"/>
        <n v="3.6"/>
        <n v="3.72"/>
        <n v="4.134"/>
        <n v="4.2"/>
        <n v="4.5"/>
        <n v="14.93"/>
        <n v="14.55"/>
        <n v="9.26"/>
        <n v="9.15"/>
        <n v="6.62"/>
        <n v="9.4"/>
        <n v="7"/>
        <n v="4.81"/>
        <n v="4.61"/>
        <n v="4.355"/>
        <n v="5.01"/>
        <n v="5.3"/>
        <n v="10.25"/>
        <n v="10.05"/>
        <n v="9.88"/>
        <n v="4.55"/>
        <n v="4.77"/>
        <n v="6.1"/>
        <n v="5.1"/>
        <n v="6.9"/>
        <n v="15.56"/>
        <n v="6.52"/>
        <n v="15.69"/>
        <n v="14.45"/>
        <n v="13.6"/>
        <n v="7.22"/>
        <n v="7.3"/>
        <n v="7.51"/>
        <n v="7.7"/>
        <n v="7.65"/>
        <n v="7.62"/>
        <n v="7.34"/>
        <n v="7.45"/>
        <n v="7.57"/>
        <n v="7.43"/>
        <n v="7.73"/>
        <n v="7.63"/>
        <n v="7.78"/>
        <n v="7.83"/>
        <n v="7.91"/>
        <n v="7.647"/>
        <n v="15.41"/>
        <n v="7.71"/>
        <n v="15.05"/>
        <n v="15.28"/>
        <n v="15.43"/>
        <n v="15.54"/>
        <n v="15.67"/>
        <n v="15.65"/>
        <n v="7.59"/>
        <n v="6.76"/>
        <n v="7.53"/>
        <n v="14.9"/>
        <n v="15.03"/>
        <n v="7.36"/>
        <n v="3.41"/>
        <n v="7.07"/>
        <n v="7.05"/>
        <n v="6.26"/>
        <n v="5.34"/>
        <n v="12.07"/>
        <n v="101.074"/>
        <n v="101.06"/>
        <n v="102.442"/>
        <n v="12.29"/>
        <n v="102.026"/>
        <n v="12.38"/>
        <n v="6.07"/>
        <n v="3.44"/>
        <n v="101.529"/>
        <n v="17.99"/>
        <n v="17.97"/>
        <n v="12.39"/>
        <n v="17.89"/>
        <n v="18.25"/>
        <n v="18.17"/>
        <n v="18.18"/>
        <n v="12.27"/>
        <n v="18.16"/>
        <n v="5.89"/>
        <n v="5.88"/>
        <n v="99.967"/>
        <n v="101.9"/>
        <n v="100.012"/>
        <n v="12.44"/>
        <n v="10.31"/>
        <n v="14.46"/>
        <n v="15.32"/>
        <n v="12.67"/>
        <n v="10.86"/>
        <n v="12.79"/>
        <n v="12.75"/>
        <n v="0.895"/>
        <n v="102.847"/>
        <n v="0.887"/>
        <n v="99.993"/>
        <n v="5.43"/>
        <n v="1.513"/>
        <n v="5.44"/>
        <n v="1.535"/>
        <n v="12.93"/>
        <n v="1.527"/>
        <n v="0.903"/>
        <n v="1.578"/>
        <n v="1.565"/>
        <n v="1.55"/>
        <n v="13.06"/>
        <n v="1.576"/>
        <n v="12.8"/>
        <n v="12.87"/>
        <n v="1.573"/>
        <n v="1.571"/>
        <n v="1.566"/>
        <n v="5.38"/>
        <n v="99.984"/>
        <n v="1.54"/>
        <n v="99.964"/>
        <n v="99.952"/>
        <n v="99.969"/>
        <n v="100.014"/>
        <n v="10.46"/>
        <n v="6.86"/>
        <n v="6.71"/>
        <n v="10.56"/>
        <n v="1.964"/>
        <n v="10.59"/>
        <n v="1.897"/>
        <n v="1.97"/>
        <n v="1.941"/>
        <n v="1.832"/>
        <n v="1.853"/>
        <n v="13.94"/>
        <n v="1.828"/>
        <n v="1.833"/>
        <n v="1.84"/>
        <n v="14.56"/>
        <n v="1.87"/>
        <n v="1.871"/>
        <n v="1.916"/>
        <n v="1.961"/>
        <n v="99.947"/>
        <n v="1.233"/>
        <n v="0.88"/>
        <n v="99.65"/>
        <n v="99.72"/>
        <n v="99.839"/>
        <n v="100.011"/>
        <n v="99.981"/>
        <n v="16.39"/>
        <n v="0.835"/>
        <n v="100.003"/>
        <n v="0.836"/>
        <n v="15.77"/>
        <n v="0.855"/>
        <n v="0.845"/>
        <n v="1.094"/>
        <n v="0.806"/>
        <n v="1.618"/>
        <n v="0.818"/>
        <n v="1.484"/>
        <n v="0.788"/>
        <n v="99.799"/>
        <n v="0.829"/>
        <n v="10.13"/>
        <n v="99.97"/>
        <n v="6.46"/>
        <n v="99.965"/>
        <n v="17.19"/>
        <n v="18.01"/>
        <n v="6.51"/>
        <n v="17.92"/>
        <n v="18.88"/>
        <n v="10.81"/>
        <n v="11.29"/>
        <n v="0.986"/>
        <n v="0.793"/>
        <n v="0.753"/>
        <n v="4.006"/>
        <n v="0.796"/>
        <n v="0.787"/>
        <n v="3.899"/>
        <n v="3.815"/>
        <n v="0.8"/>
        <n v="0.747"/>
        <n v="3.511"/>
        <n v="3.62"/>
        <n v="0.801"/>
        <n v="4.08"/>
        <n v="4.116"/>
        <n v="0.874"/>
        <n v="0.875"/>
        <n v="8.49"/>
        <n v="8.7"/>
        <n v="8.6"/>
        <n v="8.31"/>
        <n v="8.36"/>
        <n v="8.34"/>
        <n v="8.234"/>
        <n v="0.816"/>
        <n v="0.861"/>
        <n v="0.851"/>
        <n v="8.65"/>
        <n v="8.86"/>
        <n v="8.44"/>
        <n v="0.822"/>
        <n v="7.77"/>
        <n v="7.287"/>
        <n v="7.46"/>
        <n v="0.844"/>
        <n v="0.878"/>
        <n v="0.86"/>
        <n v="0.894"/>
        <n v="0.884"/>
        <n v="3.94"/>
        <n v="0.9"/>
        <n v="3.807"/>
        <n v="1.215"/>
        <n v="1.046"/>
        <n v="0.944"/>
        <n v="1.194"/>
        <n v="0.916"/>
        <n v="3.925"/>
        <n v="3.985"/>
        <n v="7.9"/>
        <n v="3.92"/>
        <n v="3.918"/>
        <n v="3.962"/>
        <n v="1.146"/>
        <n v="3.862"/>
        <n v="3.895"/>
        <n v="3.888"/>
        <n v="7.75"/>
        <n v="3.864"/>
        <n v="13"/>
        <n v="3.912"/>
        <n v="12.85"/>
        <n v="3.939"/>
        <n v="12.9"/>
        <n v="12.95"/>
        <n v="3.932"/>
        <n v="13.49"/>
        <n v="3.988"/>
        <n v="4.007"/>
        <n v="20"/>
        <n v="13.84"/>
        <n v="20.732"/>
        <n v="20.67"/>
        <n v="20.85"/>
        <n v="21.195"/>
        <n v="21.23"/>
        <n v="20.96"/>
        <n v="8.53"/>
        <n v="26.18"/>
        <n v="3.71"/>
        <n v="0.918"/>
        <n v="0.936"/>
        <n v="0.901"/>
        <n v="1.044"/>
        <n v="6.84"/>
        <n v="16.22"/>
        <n v="3.442"/>
        <n v="16.2"/>
        <n v="6.68"/>
        <n v="6.92"/>
        <n v="7.18"/>
        <n v="7.1"/>
        <n v="3.315"/>
        <n v="3.225"/>
        <n v="3.34"/>
        <n v="3.441"/>
        <n v="30"/>
        <n v="24.08"/>
        <n v="25.04"/>
        <n v="0.499"/>
        <n v="0.453"/>
        <n v="2.923"/>
        <n v="3.063"/>
        <n v="2.933"/>
        <n v="3.042"/>
        <n v="3.066"/>
        <n v="7.31"/>
        <n v="7.26"/>
        <n v="7.13"/>
        <n v="3.076"/>
        <n v="7.14"/>
        <n v="7.25"/>
        <n v="6.8"/>
        <n v="6.77"/>
        <n v="6.79"/>
        <n v="6.82"/>
        <n v="6.85"/>
        <n v="99.989"/>
        <n v="3.114"/>
        <n v="3.157"/>
        <n v="0.56"/>
        <n v="6.38"/>
        <n v="3.075"/>
        <n v="3.135"/>
        <n v="7.17"/>
        <n v="6.69"/>
        <n v="6.61"/>
        <n v="3.138"/>
        <n v="3.125"/>
        <n v="8.05"/>
        <n v="3.55"/>
        <n v="3.1"/>
        <n v="6.57"/>
        <n v="3.51"/>
        <n v="6.53"/>
        <n v="99.978"/>
        <n v="8.09"/>
        <n v="99.966"/>
        <n v="30.09"/>
        <n v="3.56"/>
        <n v="8.72"/>
        <n v="3.171"/>
        <n v="8.79"/>
        <n v="6.73"/>
        <n v="3.65"/>
        <n v="99.987"/>
        <n v="7.85"/>
        <n v="29.8"/>
        <n v="3.63"/>
        <n v="8.13"/>
        <n v="8.95"/>
        <n v="13.88"/>
        <n v="8.01"/>
        <n v="13.98"/>
        <n v="8.83"/>
        <n v="14.05"/>
        <n v="8.91"/>
        <n v="8.82"/>
        <n v="3.9"/>
        <n v="14.09"/>
        <n v="14.18"/>
        <n v="8.93"/>
        <n v="14.37"/>
        <n v="8.81"/>
        <n v="9.17"/>
        <n v="14.07"/>
        <n v="3.91"/>
        <n v="6.66"/>
        <n v="13.93"/>
        <n v="13.75"/>
        <n v="13.17"/>
        <n v="7.08"/>
        <n v="12.7"/>
        <n v="12.46"/>
        <n v="3.263"/>
        <n v="4.23"/>
        <n v="3.243"/>
        <n v="3.221"/>
        <n v="7.64"/>
        <n v="3.237"/>
        <n v="7.81"/>
        <n v="4.05"/>
        <n v="99.988"/>
        <n v="7.4"/>
        <n v="14.13"/>
        <n v="7.28"/>
        <n v="7.15"/>
        <n v="99.997"/>
        <n v="7.04"/>
        <n v="12.34"/>
        <n v="6.91"/>
        <n v="12.51"/>
        <n v="9.57"/>
        <n v="12.65"/>
        <n v="9.42"/>
        <n v="3.04"/>
        <n v="6.88"/>
        <n v="3.09"/>
        <n v="3.327"/>
        <n v="3.338"/>
        <n v="3.01"/>
        <n v="6.58"/>
        <n v="6.72"/>
        <n v="6.67"/>
        <n v="3.438"/>
        <n v="3.11"/>
        <n v="99.974"/>
        <n v="6.55"/>
        <n v="3.399"/>
        <n v="6.47"/>
        <n v="1.287"/>
        <n v="1.245"/>
        <n v="3.45"/>
        <n v="6.56"/>
        <n v="1.382"/>
        <n v="1.354"/>
        <n v="99.98"/>
        <n v="1.261"/>
        <n v="1.249"/>
        <n v="18.93"/>
        <n v="10.38"/>
        <n v="12.66"/>
        <n v="1.258"/>
        <n v="1.305"/>
        <n v="12.68"/>
        <n v="19.24"/>
        <n v="1.205"/>
        <n v="1.165"/>
        <n v="1.328"/>
        <n v="1.312"/>
        <n v="1.262"/>
        <n v="6.95"/>
        <n v="99.939"/>
        <n v="99.999"/>
        <n v="9.3"/>
        <n v="99.888"/>
        <n v="6.6"/>
        <n v="99.957"/>
        <n v="13.265"/>
        <n v="13.625"/>
        <n v="15"/>
        <n v="1.072"/>
        <n v="1.112"/>
        <n v="8.63"/>
        <n v="8.24"/>
        <n v="1.014"/>
        <n v="14.88"/>
        <n v="1.101"/>
        <n v="10.84"/>
        <n v="10.8"/>
        <n v="21.34"/>
        <n v="8.38"/>
        <n v="0.7"/>
        <n v="0.77"/>
        <n v="0.763"/>
        <n v="0.761"/>
        <n v="1.142"/>
        <n v="1.14"/>
        <n v="0.699"/>
        <n v="1.12"/>
        <n v="0.933"/>
        <n v="0.906"/>
        <n v="7.39"/>
        <n v="0.785"/>
        <n v="0.827"/>
        <n v="0.823"/>
        <n v="0.794"/>
        <n v="0.819"/>
        <n v="7.16"/>
        <n v="0.72"/>
        <n v="0.511"/>
        <n v="0.752"/>
        <n v="0.748"/>
        <n v="0.486"/>
        <n v="0.745"/>
        <n v="0.783"/>
        <n v="1.208"/>
        <n v="1.212"/>
        <n v="0.804"/>
        <n v="0.778"/>
        <n v="0.782"/>
        <n v="8.12"/>
        <n v="8.17"/>
        <n v="0.776"/>
        <n v="0.767"/>
        <n v="3.79"/>
        <n v="3.85"/>
        <n v="0.751"/>
        <n v="0.579"/>
        <n v="23.4"/>
        <n v="4.11"/>
        <n v="23.48"/>
        <n v="0.571"/>
        <n v="0.84"/>
        <n v="0.575"/>
        <n v="23.88"/>
        <n v="24.5"/>
        <n v="0.586"/>
        <n v="0.589"/>
        <n v="5.68"/>
        <n v="25.02"/>
        <n v="14.78"/>
        <n v="0.848"/>
        <n v="0.587"/>
        <n v="5.98"/>
        <n v="24.75"/>
        <n v="0.583"/>
        <n v="0.569"/>
        <n v="0.577"/>
        <n v="14.41"/>
        <n v="0.592"/>
        <n v="0.61"/>
        <n v="0.627"/>
        <n v="0.624"/>
        <n v="0.626"/>
        <n v="0.871"/>
        <n v="0.635"/>
        <n v="0.865"/>
        <n v="0.631"/>
        <n v="0.628"/>
        <n v="0.622"/>
        <n v="0.618"/>
        <n v="0.843"/>
        <n v="0.656"/>
        <n v="0.659"/>
        <n v="3.97"/>
        <n v="0.662"/>
        <n v="0.682"/>
        <n v="0.879"/>
        <n v="0.673"/>
        <n v="0.681"/>
        <n v="7.76"/>
        <n v="0.883"/>
        <n v="0.89"/>
        <n v="0.67"/>
        <n v="0.678"/>
        <n v="0.658"/>
        <n v="0.632"/>
        <n v="100"/>
        <n v="9.6"/>
        <n v="9"/>
        <n v="0.943"/>
        <n v="0.937"/>
        <n v="0.684"/>
        <n v="3.83"/>
        <n v="0.885"/>
        <n v="119.366"/>
        <n v="0.66"/>
        <n v="0.663"/>
        <n v="0.666"/>
        <n v="7.8"/>
        <n v="19.11"/>
        <n v="0.679"/>
        <n v="0.891"/>
        <n v="0.677"/>
        <n v="19.36"/>
        <n v="0.674"/>
        <n v="19.4"/>
        <n v="0.873"/>
        <n v="0.667"/>
        <n v="19.18"/>
        <n v="18.34"/>
        <n v="0.647"/>
        <n v="0.637"/>
        <n v="0.838"/>
        <n v="0.643"/>
        <n v="0.63"/>
        <n v="8.42"/>
        <n v="18.68"/>
        <n v="18.3"/>
        <n v="18.75"/>
        <n v="18.03"/>
        <n v="7.52"/>
        <n v="0.515"/>
        <n v="101.01"/>
        <n v="0.588"/>
        <n v="0.604"/>
        <n v="0.599"/>
        <n v="0.596"/>
        <n v="0.595"/>
        <n v="2.17"/>
        <n v="0.605"/>
        <n v="0.465"/>
        <n v="0.388"/>
        <n v="18.09"/>
        <n v="4.35"/>
        <n v="17.09"/>
        <n v="0.769"/>
        <n v="13.383"/>
        <n v="17.15"/>
        <n v="16.98"/>
        <n v="22.5"/>
        <n v="0.797"/>
        <n v="0.779"/>
        <n v="16.89"/>
        <n v="17.01"/>
        <n v="111.95"/>
        <n v="15.34"/>
        <n v="15.36"/>
        <n v="15.5"/>
        <n v="15.73"/>
        <n v="0.724"/>
        <n v="0.498"/>
        <n v="15.89"/>
        <n v="0.728"/>
        <n v="15.97"/>
        <n v="0.725"/>
        <n v="0.731"/>
        <n v="16.138"/>
        <n v="7.32"/>
        <n v="16.25"/>
        <n v="16.43"/>
        <n v="0.654"/>
        <n v="7.24"/>
        <n v="16.34"/>
        <n v="0.749"/>
        <n v="16.24"/>
        <n v="16.1"/>
        <n v="0.734"/>
        <n v="4.18"/>
        <n v="16.21"/>
        <n v="0.736"/>
        <n v="22.6"/>
        <n v="80.35"/>
        <n v="4.02"/>
        <n v="16.12"/>
        <n v="21.95"/>
        <n v="0.606"/>
        <n v="0.584"/>
        <n v="15.42"/>
        <n v="0.549"/>
        <n v="0.503"/>
        <n v="0.441"/>
        <n v="13.48"/>
        <n v="0.617"/>
        <n v="0.451"/>
        <n v="0.504"/>
        <n v="13.46"/>
        <n v="0.458"/>
        <n v="13.42"/>
        <n v="13.14"/>
        <n v="0.612"/>
        <n v="12.94"/>
        <n v="0.461"/>
        <n v="6.64"/>
        <n v="0.432"/>
        <n v="36.12"/>
        <n v="0.473"/>
        <n v="0.464"/>
        <n v="13.25"/>
        <n v="5.86"/>
        <n v="5.94"/>
        <n v="0.508"/>
        <n v="13.71"/>
        <n v="6.83"/>
        <n v="13.64"/>
        <n v="13.54"/>
        <n v="0.545"/>
        <n v="5.87"/>
        <n v="0.529"/>
        <n v="0.557"/>
        <n v="0.538"/>
        <n v="5.82"/>
        <n v="0.563"/>
        <n v="0.576"/>
        <n v="14.5"/>
        <n v="14.82"/>
        <n v="5.91"/>
        <n v="0.57"/>
        <n v="0.52"/>
        <n v="0.527"/>
        <n v="0.554"/>
        <n v="15.21"/>
        <n v="0.547"/>
        <n v="15.09"/>
        <n v="0.539"/>
        <n v="0.55"/>
        <n v="0.562"/>
        <n v="0.6"/>
        <n v="6.96"/>
        <n v="5.72"/>
        <n v="0.556"/>
        <n v="0.607"/>
        <n v="15.35"/>
        <n v="0.544"/>
        <n v="0.625"/>
        <n v="15.13"/>
        <n v="15.615"/>
        <n v="15.52"/>
        <n v="0.71"/>
        <n v="0.726"/>
        <n v="0.78"/>
        <n v="6.5"/>
        <n v="99.937"/>
        <n v="6.3"/>
        <n v="15.6"/>
        <n v="0.487"/>
        <n v="0.518"/>
        <n v="6.02"/>
        <n v="16.15"/>
        <n v="0.497"/>
        <n v="4.28"/>
        <n v="5.06"/>
        <n v="6.12"/>
        <n v="3.96"/>
        <n v="9.51"/>
        <n v="5.67"/>
        <n v="5.02"/>
        <n v="6.29"/>
        <n v="3.58"/>
        <n v="3.31"/>
        <n v="2.95"/>
        <n v="95.24"/>
        <n v="0.485"/>
        <n v="0.438"/>
        <n v="0.446"/>
        <n v="0.475"/>
        <n v="1.059"/>
        <n v="1.831"/>
        <n v="1.364"/>
        <n v="1.391"/>
        <n v="1.18"/>
        <n v="0.15"/>
        <n v="3.07"/>
        <n v="1.472"/>
        <n v="1.062"/>
        <n v="3.14"/>
        <n v="3.12"/>
        <n v="7.44"/>
        <n v="3.06"/>
        <n v="2.79"/>
        <n v="2.64"/>
        <n v="8.99"/>
        <n v="0.06"/>
        <n v="2.9"/>
        <n v="16.11"/>
        <n v="4.42"/>
        <n v="17.53"/>
        <n v="4.89"/>
        <n v="20.21"/>
        <n v="13.72"/>
        <n v="14.2"/>
        <n v="12.76"/>
        <n v="14.12"/>
        <n v="0.1"/>
        <n v="5.099"/>
        <n v="5.156"/>
        <n v="5.182"/>
        <n v="5.13"/>
        <n v="5.115"/>
        <n v="4.39"/>
        <n v="4.06"/>
        <n v="3.98"/>
        <n v="4.01"/>
        <n v="4.1"/>
        <n v="4.16"/>
        <n v="4.84"/>
        <n v="15.94"/>
        <n v="5.16"/>
        <n v="0.839"/>
        <n v="0.852"/>
        <n v="0.826"/>
        <n v="0.13"/>
        <n v="0.825"/>
        <n v="0.837"/>
        <n v="0.85"/>
        <n v="0.869"/>
        <n v="15.33"/>
        <n v="0.864"/>
        <n v="4.15"/>
        <n v="4.75"/>
        <n v="4.09"/>
        <n v="4.07"/>
        <n v="4.04"/>
        <n v="4.14"/>
        <n v="0.882"/>
        <n v="9.68"/>
        <n v="3.57"/>
        <n v="6.2"/>
        <n v="60.06"/>
        <n v="15.59"/>
        <n v="0.25"/>
        <n v="91.02"/>
        <n v="5.2"/>
        <m/>
      </sharedItems>
    </cacheField>
    <cacheField name="成交数量" numFmtId="0">
      <sharedItems containsString="0" containsBlank="1" containsNumber="1" containsInteger="1" minValue="0" maxValue="222000" count="272">
        <n v="0"/>
        <n v="300"/>
        <n v="400"/>
        <n v="500"/>
        <n v="600"/>
        <n v="700"/>
        <n v="10"/>
        <n v="20"/>
        <n v="800"/>
        <n v="1300"/>
        <n v="90"/>
        <n v="100"/>
        <n v="50"/>
        <n v="1000"/>
        <n v="40"/>
        <n v="60"/>
        <n v="200"/>
        <n v="1500"/>
        <n v="1100"/>
        <n v="2500"/>
        <n v="80"/>
        <n v="120"/>
        <n v="1900"/>
        <n v="900"/>
        <n v="1600"/>
        <n v="1700"/>
        <n v="2000"/>
        <n v="30"/>
        <n v="9600"/>
        <n v="3500"/>
        <n v="5000"/>
        <n v="10000"/>
        <n v="7500"/>
        <n v="1800"/>
        <n v="2700"/>
        <n v="3100"/>
        <n v="1400"/>
        <n v="23100"/>
        <n v="708"/>
        <n v="354"/>
        <n v="23454"/>
        <n v="14200"/>
        <n v="59700"/>
        <n v="50000"/>
        <n v="9700"/>
        <n v="45161"/>
        <n v="45160"/>
        <n v="22580"/>
        <n v="25600"/>
        <n v="40000"/>
        <n v="1120"/>
        <n v="1"/>
        <n v="71634"/>
        <n v="1121"/>
        <n v="1737"/>
        <n v="1482"/>
        <n v="52400"/>
        <n v="2400"/>
        <n v="39900"/>
        <n v="7000"/>
        <n v="60000"/>
        <n v="32400"/>
        <n v="4000"/>
        <n v="4400"/>
        <n v="30000"/>
        <n v="3000"/>
        <n v="6000"/>
        <n v="20000"/>
        <n v="112900"/>
        <n v="44557"/>
        <n v="110560"/>
        <n v="152900"/>
        <n v="3219"/>
        <n v="3285"/>
        <n v="9871"/>
        <n v="2082"/>
        <n v="2800"/>
        <n v="9000"/>
        <n v="4500"/>
        <n v="6750"/>
        <n v="2900"/>
        <n v="13000"/>
        <n v="37400"/>
        <n v="31200"/>
        <n v="8600"/>
        <n v="12615"/>
        <n v="38312"/>
        <n v="1200"/>
        <n v="17208"/>
        <n v="8700"/>
        <n v="12322"/>
        <n v="14765"/>
        <n v="4710"/>
        <n v="29939"/>
        <n v="9305"/>
        <n v="17155"/>
        <n v="24938"/>
        <n v="59932"/>
        <n v="2121"/>
        <n v="16423"/>
        <n v="9997"/>
        <n v="28996"/>
        <n v="10726"/>
        <n v="17585"/>
        <n v="24393"/>
        <n v="60896"/>
        <n v="860"/>
        <n v="86679"/>
        <n v="970"/>
        <n v="111"/>
        <n v="24727"/>
        <n v="100001"/>
        <n v="24819"/>
        <n v="7005"/>
        <n v="19120"/>
        <n v="11405"/>
        <n v="19999"/>
        <n v="58894"/>
        <n v="16883"/>
        <n v="21040"/>
        <n v="22400"/>
        <n v="20421"/>
        <n v="6100"/>
        <n v="15773"/>
        <n v="22140"/>
        <n v="11250"/>
        <n v="5785"/>
        <n v="15665"/>
        <n v="11852"/>
        <n v="9800"/>
        <n v="15565"/>
        <n v="9995"/>
        <n v="8196"/>
        <n v="11107"/>
        <n v="6050"/>
        <n v="12205"/>
        <n v="8815"/>
        <n v="29780"/>
        <n v="11375"/>
        <n v="31804"/>
        <n v="13330"/>
        <n v="17685"/>
        <n v="18654"/>
        <n v="13165"/>
        <n v="999"/>
        <n v="43292"/>
        <n v="430"/>
        <n v="43404"/>
        <n v="18866"/>
        <n v="3250"/>
        <n v="17705"/>
        <n v="12012"/>
        <n v="18500"/>
        <n v="21"/>
        <n v="16266"/>
        <n v="3850"/>
        <n v="31631"/>
        <n v="12745"/>
        <n v="18035"/>
        <n v="22176"/>
        <n v="10305"/>
        <n v="70"/>
        <n v="15076"/>
        <n v="55"/>
        <n v="16992"/>
        <n v="75137"/>
        <n v="440"/>
        <n v="31889"/>
        <n v="15345"/>
        <n v="15330"/>
        <n v="24020"/>
        <n v="39533"/>
        <n v="11500"/>
        <n v="10984"/>
        <n v="10065"/>
        <n v="24880"/>
        <n v="35648"/>
        <n v="8645"/>
        <n v="15705"/>
        <n v="1601"/>
        <n v="6299"/>
        <n v="20179"/>
        <n v="16200"/>
        <n v="26200"/>
        <n v="11555"/>
        <n v="28"/>
        <n v="1706"/>
        <n v="100000"/>
        <n v="7105"/>
        <n v="7265"/>
        <n v="9755"/>
        <n v="30478"/>
        <n v="9456"/>
        <n v="17550"/>
        <n v="3612"/>
        <n v="2300"/>
        <n v="5155"/>
        <n v="3023"/>
        <n v="13600"/>
        <n v="11729"/>
        <n v="6404"/>
        <n v="29000"/>
        <n v="788"/>
        <n v="10354"/>
        <n v="5"/>
        <n v="2999"/>
        <n v="5063"/>
        <n v="2503"/>
        <n v="28359"/>
        <n v="222000"/>
        <n v="6200"/>
        <n v="3700"/>
        <n v="8000"/>
        <n v="2662"/>
        <n v="6700"/>
        <n v="12700"/>
        <n v="5700"/>
        <n v="6063"/>
        <n v="4271"/>
        <n v="5461"/>
        <n v="26000"/>
        <n v="18283"/>
        <n v="19026"/>
        <n v="2820"/>
        <n v="636"/>
        <n v="3246"/>
        <n v="4877"/>
        <n v="12674"/>
        <n v="12653"/>
        <n v="704"/>
        <n v="54000"/>
        <n v="4"/>
        <n v="7569"/>
        <n v="8309"/>
        <n v="8250"/>
        <n v="16469"/>
        <n v="13725"/>
        <n v="12628"/>
        <n v="59156"/>
        <n v="11600"/>
        <n v="10265"/>
        <n v="13175"/>
        <n v="11999"/>
        <n v="18105"/>
        <n v="11728"/>
        <n v="7905"/>
        <n v="11778"/>
        <n v="11945"/>
        <n v="23493"/>
        <n v="4847"/>
        <n v="14145"/>
        <n v="25050"/>
        <n v="8265"/>
        <n v="8145"/>
        <n v="4942"/>
        <n v="16390"/>
        <n v="29617"/>
        <n v="8655"/>
        <n v="11276"/>
        <n v="24205"/>
        <n v="12625"/>
        <n v="11825"/>
        <n v="8555"/>
        <n v="8415"/>
        <n v="23614"/>
        <n v="14000"/>
        <n v="2892"/>
        <n v="1785"/>
        <n v="4019"/>
        <n v="1858"/>
        <n v="9100"/>
        <m/>
      </sharedItems>
    </cacheField>
    <cacheField name="成交金额" numFmtId="0">
      <sharedItems containsString="0" containsBlank="1" containsNumber="1" minValue="-12774.06" maxValue="250332.05" count="956">
        <n v="0"/>
        <n v="4914"/>
        <n v="5154"/>
        <n v="3186"/>
        <n v="3087"/>
        <n v="4752"/>
        <n v="4940"/>
        <n v="4804"/>
        <n v="4250"/>
        <n v="4555"/>
        <n v="4536"/>
        <n v="4724"/>
        <n v="5112"/>
        <n v="4488"/>
        <n v="4314"/>
        <n v="4422"/>
        <n v="4354"/>
        <n v="22.05"/>
        <n v="5250"/>
        <n v="3270"/>
        <n v="1000"/>
        <n v="1000.69"/>
        <n v="1000.71"/>
        <n v="2000"/>
        <n v="8958"/>
        <n v="8730"/>
        <n v="6482"/>
        <n v="5490"/>
        <n v="2003.17"/>
        <n v="2001.73"/>
        <n v="1001.61"/>
        <n v="5296"/>
        <n v="4700"/>
        <n v="9100"/>
        <n v="9000"/>
        <n v="9008.3"/>
        <n v="10000"/>
        <n v="5000"/>
        <n v="10250"/>
        <n v="3015"/>
        <n v="988"/>
        <n v="10017.68"/>
        <n v="10019.22"/>
        <n v="10020.33"/>
        <n v="4000"/>
        <n v="6000"/>
        <n v="5004.57"/>
        <n v="4668"/>
        <n v="5005.85"/>
        <n v="6007.94"/>
        <n v="3912"/>
        <n v="6276"/>
        <n v="5016.7"/>
        <n v="10017.45"/>
        <n v="4007.82"/>
        <n v="4335"/>
        <n v="4080"/>
        <n v="3610"/>
        <n v="7300"/>
        <n v="3755"/>
        <n v="2244"/>
        <n v="1540"/>
        <n v="3825"/>
        <n v="4572"/>
        <n v="3670"/>
        <n v="3725"/>
        <n v="4542"/>
        <n v="4458"/>
        <n v="4638"/>
        <n v="4578"/>
        <n v="7830"/>
        <n v="3164"/>
        <n v="4588"/>
        <n v="4623"/>
        <n v="4626"/>
        <n v="7525"/>
        <n v="7640"/>
        <n v="7715"/>
        <n v="7770"/>
        <n v="7835"/>
        <n v="7825"/>
        <n v="7590"/>
        <n v="4056"/>
        <n v="7530"/>
        <n v="7450"/>
        <n v="7515"/>
        <n v="5888"/>
        <n v="5115"/>
        <n v="3535"/>
        <n v="3525"/>
        <n v="6886"/>
        <n v="5874"/>
        <n v="6035"/>
        <n v="617.5"/>
        <n v="10107.44"/>
        <n v="5138"/>
        <n v="66.5"/>
        <n v="8084.8"/>
        <n v="38"/>
        <n v="372.93"/>
        <n v="8195.37"/>
        <n v="6145"/>
        <n v="2040.51"/>
        <n v="5033"/>
        <n v="12380"/>
        <n v="6070"/>
        <n v="5160"/>
        <n v="12183.45"/>
        <n v="34181"/>
        <n v="5391"/>
        <n v="5463"/>
        <n v="23541"/>
        <n v="28624"/>
        <n v="1239"/>
        <n v="14600"/>
        <n v="13585"/>
        <n v="18170"/>
        <n v="18180"/>
        <n v="20859"/>
        <n v="18160"/>
        <n v="11780"/>
        <n v="588"/>
        <n v="19993.4"/>
        <n v="3057.01"/>
        <n v="20002.4"/>
        <n v="6220"/>
        <n v="5155"/>
        <n v="8676"/>
        <n v="9192"/>
        <n v="6335"/>
        <n v="5430"/>
        <n v="6395"/>
        <n v="2.15"/>
        <n v="6375"/>
        <n v="8592"/>
        <n v="3085.41"/>
        <n v="3104.5"/>
        <n v="39997.2"/>
        <n v="40004.19"/>
        <n v="2715"/>
        <n v="7565"/>
        <n v="8160"/>
        <n v="7675"/>
        <n v="6465"/>
        <n v="15270"/>
        <n v="9030"/>
        <n v="3945"/>
        <n v="3875"/>
        <n v="13060"/>
        <n v="3940"/>
        <n v="19200"/>
        <n v="19305"/>
        <n v="3932.5"/>
        <n v="3927.5"/>
        <n v="3915"/>
        <n v="10760"/>
        <n v="9998.4"/>
        <n v="11550"/>
        <n v="10001"/>
        <n v="9996.4"/>
        <n v="9995.2"/>
        <n v="20002.09"/>
        <n v="19993.7"/>
        <n v="20002.8"/>
        <n v="5230"/>
        <n v="8.3"/>
        <n v="3450"/>
        <n v="3430"/>
        <n v="3355"/>
        <n v="19008"/>
        <n v="785.6"/>
        <n v="5295"/>
        <n v="5121.9"/>
        <n v="6107"/>
        <n v="10290"/>
        <n v="4852.5"/>
        <n v="4580"/>
        <n v="4632.5"/>
        <n v="13940"/>
        <n v="4570"/>
        <n v="4582.5"/>
        <n v="4600"/>
        <n v="20384"/>
        <n v="4675"/>
        <n v="4677.5"/>
        <n v="4790"/>
        <n v="4902.5"/>
        <n v="9994.7"/>
        <n v="10001.04"/>
        <n v="436.48"/>
        <n v="20639.52"/>
        <n v="19930"/>
        <n v="19944"/>
        <n v="29951.7"/>
        <n v="40003.79"/>
        <n v="40004.4"/>
        <n v="19996.2"/>
        <n v="8195"/>
        <n v="11857"/>
        <n v="50001.5"/>
        <n v="49909.2"/>
        <n v="7885"/>
        <n v="42750"/>
        <n v="8293.5"/>
        <n v="11999"/>
        <n v="60.33"/>
        <n v="49406.13"/>
        <n v="20940.8"/>
        <n v="33508.72"/>
        <n v="31520"/>
        <n v="19959.8"/>
        <n v="20007.63"/>
        <n v="33160"/>
        <n v="10130"/>
        <n v="19998.6"/>
        <n v="20017.83"/>
        <n v="19994"/>
        <n v="20002.16"/>
        <n v="3230"/>
        <n v="19993"/>
        <n v="20002.18"/>
        <n v="8595"/>
        <n v="9005"/>
        <n v="3255"/>
        <n v="8960"/>
        <n v="9440"/>
        <n v="10810"/>
        <n v="4516"/>
        <n v="1461.25"/>
        <n v="41553.2"/>
        <n v="228"/>
        <n v="30044.7"/>
        <n v="20030"/>
        <n v="31760.4"/>
        <n v="31401.3"/>
        <n v="7798"/>
        <n v="7630"/>
        <n v="33077.1"/>
        <n v="32000"/>
        <n v="7470"/>
        <n v="7022"/>
        <n v="7240"/>
        <n v="8010"/>
        <n v="28812"/>
        <n v="52440"/>
        <n v="28350"/>
        <n v="16980"/>
        <n v="17400"/>
        <n v="17200"/>
        <n v="16620"/>
        <n v="33440"/>
        <n v="33960"/>
        <n v="16680"/>
        <n v="36229.5"/>
        <n v="24480"/>
        <n v="25830"/>
        <n v="25530"/>
        <n v="34600"/>
        <n v="17720"/>
        <n v="16880"/>
        <n v="24660"/>
        <n v="51008"/>
        <n v="52220"/>
        <n v="50640"/>
        <n v="52680"/>
        <n v="25800"/>
        <n v="26820"/>
        <n v="26520"/>
        <n v="7880"/>
        <n v="27000"/>
        <n v="7614"/>
        <n v="36450.01"/>
        <n v="27480"/>
        <n v="7850"/>
        <n v="7970"/>
        <n v="7900"/>
        <n v="1960"/>
        <n v="5877"/>
        <n v="7924"/>
        <n v="68772"/>
        <n v="7724"/>
        <n v="7730"/>
        <n v="7790"/>
        <n v="15552"/>
        <n v="15500"/>
        <n v="15456"/>
        <n v="13000"/>
        <n v="15648"/>
        <n v="12850"/>
        <n v="15756"/>
        <n v="12900"/>
        <n v="25900"/>
        <n v="15728"/>
        <n v="26980"/>
        <n v="7976"/>
        <n v="8014"/>
        <n v="60000"/>
        <n v="13840"/>
        <n v="62195"/>
        <n v="124020"/>
        <n v="62550"/>
        <n v="21195"/>
        <n v="21230"/>
        <n v="20960"/>
        <n v="42650"/>
        <n v="42450"/>
        <n v="13090"/>
        <n v="7420"/>
        <n v="18320"/>
        <n v="18360"/>
        <n v="105674.4"/>
        <n v="40145.86"/>
        <n v="115424.64"/>
        <n v="34200"/>
        <n v="8110"/>
        <n v="68840"/>
        <n v="8100"/>
        <n v="13360"/>
        <n v="6920"/>
        <n v="7180"/>
        <n v="7100"/>
        <n v="66300"/>
        <n v="8062.5"/>
        <n v="6680"/>
        <n v="1720.5"/>
        <n v="15000"/>
        <n v="12040"/>
        <n v="12520"/>
        <n v="4925.63"/>
        <n v="9998.1"/>
        <n v="10000.7"/>
        <n v="4530"/>
        <n v="102"/>
        <n v="5846"/>
        <n v="8835"/>
        <n v="6126"/>
        <n v="5866"/>
        <n v="11385"/>
        <n v="6084"/>
        <n v="6132"/>
        <n v="10965"/>
        <n v="10890"/>
        <n v="10695"/>
        <n v="6152"/>
        <n v="10710"/>
        <n v="7250"/>
        <n v="6800"/>
        <n v="6770"/>
        <n v="6790"/>
        <n v="6820"/>
        <n v="17125"/>
        <n v="18125"/>
        <n v="19997.8"/>
        <n v="6228"/>
        <n v="6314"/>
        <n v="5527.76"/>
        <n v="11484"/>
        <n v="12760"/>
        <n v="10.25"/>
        <n v="7687.5"/>
        <n v="7837.5"/>
        <n v="7170"/>
        <n v="13380"/>
        <n v="13220"/>
        <n v="6250"/>
        <n v="14490"/>
        <n v="99984"/>
        <n v="100006.13"/>
        <n v="10650"/>
        <n v="13240"/>
        <n v="6200"/>
        <n v="13140"/>
        <n v="10530"/>
        <n v="14004"/>
        <n v="32650"/>
        <n v="39991.2"/>
        <n v="40002.46"/>
        <n v="14562"/>
        <n v="39986.4"/>
        <n v="6018"/>
        <n v="15300"/>
        <n v="10680"/>
        <n v="8720"/>
        <n v="40002.52"/>
        <n v="6342"/>
        <n v="8790"/>
        <n v="2799.3"/>
        <n v="18844"/>
        <n v="10950"/>
        <n v="39994.8"/>
        <n v="3925"/>
        <n v="40002.57"/>
        <n v="5960"/>
        <n v="16260"/>
        <n v="17900"/>
        <n v="27760"/>
        <n v="16020"/>
        <n v="27960"/>
        <n v="17660"/>
        <n v="28100"/>
        <n v="10860"/>
        <n v="17820"/>
        <n v="17640"/>
        <n v="11700"/>
        <n v="28180"/>
        <n v="14180"/>
        <n v="17860"/>
        <n v="14370"/>
        <n v="17620"/>
        <n v="18340"/>
        <n v="14070"/>
        <n v="35190"/>
        <n v="13320"/>
        <n v="13930"/>
        <n v="13750"/>
        <n v="13170"/>
        <n v="28320"/>
        <n v="12700"/>
        <n v="37380"/>
        <n v="6526"/>
        <n v="12690"/>
        <n v="6486"/>
        <n v="12600"/>
        <n v="6442"/>
        <n v="11130"/>
        <n v="3820"/>
        <n v="6474"/>
        <n v="11730"/>
        <n v="3905"/>
        <n v="39400"/>
        <n v="40500"/>
        <n v="39995.2"/>
        <n v="9998.8"/>
        <n v="14800"/>
        <n v="14960"/>
        <n v="7065"/>
        <n v="14560"/>
        <n v="71500"/>
        <n v="450"/>
        <n v="49998.5"/>
        <n v="21120"/>
        <n v="12340"/>
        <n v="44.19"/>
        <n v="13820"/>
        <n v="12510"/>
        <n v="14355"/>
        <n v="6325"/>
        <n v="14130"/>
        <n v="13540"/>
        <n v="8816"/>
        <n v="13760"/>
        <n v="8961"/>
        <n v="13720"/>
        <n v="8982.9"/>
        <n v="9012.6"/>
        <n v="26320"/>
        <n v="26880"/>
        <n v="26680"/>
        <n v="6876"/>
        <n v="9330"/>
        <n v="19994.8"/>
        <n v="20002.53"/>
        <n v="85540"/>
        <n v="13020"/>
        <n v="16375"/>
        <n v="13160"/>
        <n v="8497.5"/>
        <n v="16175"/>
        <n v="48133.8"/>
        <n v="38844"/>
        <n v="8625"/>
        <n v="16400"/>
        <n v="11885.2"/>
        <n v="81240"/>
        <n v="109978"/>
        <n v="33450"/>
        <n v="12610"/>
        <n v="110015.32"/>
        <n v="12490"/>
        <n v="9465"/>
        <n v="25400"/>
        <n v="12456"/>
        <n v="51000"/>
        <n v="16290"/>
        <n v="58203"/>
        <n v="12580"/>
        <n v="13050"/>
        <n v="25360"/>
        <n v="9620"/>
        <n v="59595"/>
        <n v="12050"/>
        <n v="11650"/>
        <n v="13280"/>
        <n v="13120"/>
        <n v="16900"/>
        <n v="25240"/>
        <n v="13032"/>
        <n v="17375"/>
        <n v="12070"/>
        <n v="29981.7"/>
        <n v="79957.6"/>
        <n v="110002.54"/>
        <n v="79999.2"/>
        <n v="9300"/>
        <n v="17150"/>
        <n v="80020.93"/>
        <n v="24930"/>
        <n v="59932.8"/>
        <n v="60015.14"/>
        <n v="63.22"/>
        <n v="16500"/>
        <n v="9997.4"/>
        <n v="9995.7"/>
        <n v="30000"/>
        <n v="10000.88"/>
        <n v="30021.81"/>
        <n v="10007.47"/>
        <n v="10008.22"/>
        <n v="10720"/>
        <n v="11120"/>
        <n v="16925"/>
        <n v="17580"/>
        <n v="25890"/>
        <n v="24720"/>
        <n v="18840"/>
        <n v="17100"/>
        <n v="10140"/>
        <n v="86000"/>
        <n v="86035.06"/>
        <n v="11010"/>
        <n v="97000"/>
        <n v="97043.05"/>
        <n v="21680"/>
        <n v="21600"/>
        <n v="21340"/>
        <n v="325.11"/>
        <n v="25140"/>
        <n v="7000"/>
        <n v="7700"/>
        <n v="7610"/>
        <n v="11420"/>
        <n v="11400"/>
        <n v="13980"/>
        <n v="22400"/>
        <n v="58170"/>
        <n v="20436.2"/>
        <n v="20899.2"/>
        <n v="20294.4"/>
        <n v="19818"/>
        <n v="20250"/>
        <n v="20142"/>
        <n v="19953"/>
        <n v="20468"/>
        <n v="400"/>
        <n v="15700"/>
        <n v="5044.7"/>
        <n v="16440"/>
        <n v="5020.3"/>
        <n v="109.59"/>
        <n v="15880"/>
        <n v="16380"/>
        <n v="21480"/>
        <n v="562.5"/>
        <n v="4440"/>
        <n v="21840"/>
        <n v="14400"/>
        <n v="10220"/>
        <n v="15040"/>
        <n v="9720"/>
        <n v="14900"/>
        <n v="15660"/>
        <n v="11838.4"/>
        <n v="11877.6"/>
        <n v="16080"/>
        <n v="15560"/>
        <n v="15640"/>
        <n v="24360"/>
        <n v="24510"/>
        <n v="15520"/>
        <n v="15340"/>
        <n v="18600"/>
        <n v="18950"/>
        <n v="19250"/>
        <n v="7510"/>
        <n v="5790"/>
        <n v="12330"/>
        <n v="11740"/>
        <n v="5710"/>
        <n v="8400"/>
        <n v="5750"/>
        <n v="11940"/>
        <n v="12250"/>
        <n v="5860"/>
        <n v="5890"/>
        <n v="11360"/>
        <n v="22170"/>
        <n v="8480"/>
        <n v="5870"/>
        <n v="11960"/>
        <n v="12375"/>
        <n v="5830"/>
        <n v="5690"/>
        <n v="5770"/>
        <n v="21615"/>
        <n v="8290"/>
        <n v="8350"/>
        <n v="11840"/>
        <n v="12200"/>
        <n v="12540"/>
        <n v="12480"/>
        <n v="8840"/>
        <n v="17420"/>
        <n v="17300.01"/>
        <n v="12620"/>
        <n v="12560"/>
        <n v="12440"/>
        <n v="33720"/>
        <n v="17020"/>
        <n v="11370"/>
        <n v="18350"/>
        <n v="13180"/>
        <n v="11910"/>
        <n v="13640"/>
        <n v="17740"/>
        <n v="13460"/>
        <n v="13620"/>
        <n v="19400"/>
        <n v="17680"/>
        <n v="35600"/>
        <n v="13400"/>
        <n v="101.43"/>
        <n v="13560"/>
        <n v="18750"/>
        <n v="12640"/>
        <n v="43000"/>
        <n v="43113.1"/>
        <n v="43010.6"/>
        <n v="18860"/>
        <n v="18740"/>
        <n v="13680"/>
        <n v="12447.5"/>
        <n v="17700"/>
        <n v="1193.66"/>
        <n v="13200"/>
        <n v="12265.5"/>
        <n v="12321"/>
        <n v="19500"/>
        <n v="19110"/>
        <n v="13580"/>
        <n v="19360"/>
        <n v="13480"/>
        <n v="17460"/>
        <n v="13340"/>
        <n v="19180"/>
        <n v="12940"/>
        <n v="12740"/>
        <n v="16580"/>
        <n v="16760"/>
        <n v="12860"/>
        <n v="12600.6"/>
        <n v="16460"/>
        <n v="21050"/>
        <n v="20900"/>
        <n v="18680"/>
        <n v="18300"/>
        <n v="18030"/>
        <n v="22560"/>
        <n v="10300"/>
        <n v="1010.1"/>
        <n v="11760"/>
        <n v="12080"/>
        <n v="11980"/>
        <n v="11920"/>
        <n v="11900"/>
        <n v="2170"/>
        <n v="12100"/>
        <n v="18090"/>
        <n v="163.24"/>
        <n v="4350"/>
        <n v="11720"/>
        <n v="17090"/>
        <n v="30760"/>
        <n v="44000"/>
        <n v="44064.53"/>
        <n v="31280"/>
        <n v="11250"/>
        <n v="31880"/>
        <n v="31160"/>
        <n v="16890"/>
        <n v="17010"/>
        <n v="1119.5"/>
        <n v="15360"/>
        <n v="31120"/>
        <n v="15730"/>
        <n v="14480"/>
        <n v="9960"/>
        <n v="15890"/>
        <n v="15970"/>
        <n v="14500"/>
        <n v="14620"/>
        <n v="16138"/>
        <n v="8052"/>
        <n v="16250"/>
        <n v="16430"/>
        <n v="13080"/>
        <n v="13756"/>
        <n v="16340"/>
        <n v="29960"/>
        <n v="48720"/>
        <n v="16100"/>
        <n v="14680"/>
        <n v="48070"/>
        <n v="16210"/>
        <n v="14720"/>
        <n v="11300"/>
        <n v="40175"/>
        <n v="46230"/>
        <n v="32240"/>
        <n v="10975"/>
        <n v="24240"/>
        <n v="23360"/>
        <n v="30840"/>
        <n v="10980"/>
        <n v="10060"/>
        <n v="10005"/>
        <n v="9290"/>
        <n v="9020"/>
        <n v="10080"/>
        <n v="9160"/>
        <n v="13420"/>
        <n v="12240"/>
        <n v="9220"/>
        <n v="8640"/>
        <n v="40000"/>
        <n v="36120"/>
        <n v="9460"/>
        <n v="9280"/>
        <n v="13250"/>
        <n v="11880"/>
        <n v="5080"/>
        <n v="13710"/>
        <n v="13660"/>
        <n v="27280"/>
        <n v="5450"/>
        <n v="10580"/>
        <n v="11130.2"/>
        <n v="11640"/>
        <n v="9120.6"/>
        <n v="11520"/>
        <n v="29000"/>
        <n v="14820"/>
        <n v="11820"/>
        <n v="14934"/>
        <n v="10400"/>
        <n v="10540"/>
        <n v="11080"/>
        <n v="11140"/>
        <n v="6120"/>
        <n v="15210"/>
        <n v="10940"/>
        <n v="7545"/>
        <n v="10780"/>
        <n v="11000"/>
        <n v="11240"/>
        <n v="12000"/>
        <n v="10440"/>
        <n v="11440"/>
        <n v="22240"/>
        <n v="24280"/>
        <n v="10880"/>
        <n v="12500"/>
        <n v="11500"/>
        <n v="15130"/>
        <n v="11540"/>
        <n v="15615"/>
        <n v="7760"/>
        <n v="400.97"/>
        <n v="10155"/>
        <n v="8060"/>
        <n v="100000"/>
        <n v="7260"/>
        <n v="7800"/>
        <n v="9750"/>
        <n v="189880.3"/>
        <n v="190019.64"/>
        <n v="9450"/>
        <n v="9740"/>
        <n v="10360"/>
        <n v="13846"/>
        <n v="8075"/>
        <n v="5150"/>
        <n v="2982"/>
        <n v="178.64"/>
        <n v="5136"/>
        <n v="290"/>
        <n v="6072"/>
        <n v="6432.8"/>
        <n v="6380"/>
        <n v="6020"/>
        <n v="4.99"/>
        <n v="3"/>
        <n v="0.6"/>
        <n v="1.36"/>
        <n v="1980"/>
        <n v="1.27"/>
        <n v="4755"/>
        <n v="5063"/>
        <n v="11.69"/>
        <n v="100"/>
        <n v="250269.96"/>
        <n v="5"/>
        <n v="1"/>
        <n v="250332.05"/>
        <n v="222000"/>
        <n v="34.37"/>
        <n v="31124"/>
        <n v="31450"/>
        <n v="21473.79"/>
        <n v="0.01"/>
        <n v="19835.03"/>
        <n v="0.02"/>
        <n v="0.03"/>
        <n v="18676.58"/>
        <n v="2.04"/>
        <n v="23627.12"/>
        <n v="0.06"/>
        <n v="0.08"/>
        <n v="0.11"/>
        <n v="0.14"/>
        <n v="0.2"/>
        <n v="1603"/>
        <n v="952.4"/>
        <n v="1697.5"/>
        <n v="2628"/>
        <n v="2988.2"/>
        <n v="6032.5"/>
        <n v="6036.3"/>
        <n v="0.05"/>
        <n v="18643.97"/>
        <n v="7820.2"/>
        <n v="5456"/>
        <n v="5564"/>
        <n v="6726"/>
        <n v="4.13"/>
        <n v="3952"/>
        <n v="18437.4"/>
        <n v="4778.11"/>
        <n v="5179.37"/>
        <n v="18817.32"/>
        <n v="18687.75"/>
        <n v="0.04"/>
        <n v="12648"/>
        <n v="425"/>
        <n v="18390.06"/>
        <n v="0.1"/>
        <n v="29.46"/>
        <n v="27855.53"/>
        <n v="0.31"/>
        <n v="26408.48"/>
        <n v="0.13"/>
        <n v="4495"/>
        <n v="0.17"/>
        <n v="3024"/>
        <n v="29032.89"/>
        <n v="25771.33"/>
        <n v="7876"/>
        <n v="8261"/>
        <n v="0.15"/>
        <n v="5025"/>
        <n v="13260"/>
        <n v="18.9"/>
        <n v="0.4"/>
        <n v="18625.23"/>
        <n v="0.18"/>
        <n v="7.17"/>
        <n v="0.36"/>
        <n v="14024.86"/>
        <n v="14670"/>
        <n v="16169.1"/>
        <n v="0.3"/>
        <n v="16464"/>
        <n v="17136"/>
        <n v="14200"/>
        <n v="136.58"/>
        <n v="14120"/>
        <n v="5616"/>
        <n v="-0.1"/>
        <n v="-0.15"/>
        <n v="59144.7"/>
        <n v="-0.05"/>
        <n v="10312"/>
        <n v="10364"/>
        <n v="10260"/>
        <n v="59334"/>
        <n v="-0.04"/>
        <n v="-0.13"/>
        <n v="66"/>
        <n v="12060"/>
        <n v="12180"/>
        <n v="19900"/>
        <n v="-0.12"/>
        <n v="12030"/>
        <n v="662.4"/>
        <n v="12300"/>
        <n v="85"/>
        <n v="8320"/>
        <n v="14520"/>
        <n v="-12774.06"/>
        <n v="13044.09"/>
        <n v="15480"/>
        <n v="16780"/>
        <n v="8520"/>
        <n v="8390"/>
        <n v="8260"/>
        <n v="8380"/>
        <n v="146.86"/>
        <n v="8510"/>
        <n v="-0.3"/>
        <n v="6912"/>
        <n v="8250"/>
        <n v="8370"/>
        <n v="8500"/>
        <n v="8690"/>
        <n v="8550"/>
        <n v="12262.75"/>
        <n v="8610"/>
        <n v="8750"/>
        <n v="12150"/>
        <n v="8830"/>
        <n v="24200"/>
        <n v="12450"/>
        <n v="23750"/>
        <n v="12270"/>
        <n v="12210"/>
        <n v="12120"/>
        <n v="12420"/>
        <n v="8820"/>
        <n v="165"/>
        <n v="2904"/>
        <n v="11704"/>
        <n v="0.25"/>
        <n v="1785"/>
        <n v="3100"/>
        <n v="0.49"/>
        <n v="0.12"/>
        <n v="14.34"/>
        <n v="0.24"/>
        <n v="0.21"/>
        <n v="0.16"/>
        <n v="30030"/>
        <n v="31178.43"/>
        <n v="16.54"/>
        <n v="13392"/>
        <n v="45510"/>
        <n v="47320"/>
        <m/>
      </sharedItems>
    </cacheField>
    <cacheField name="发生金额" numFmtId="0">
      <sharedItems containsString="0" containsBlank="1" containsNumber="1" minValue="-250447.86" maxValue="250332.05" count="1461">
        <n v="0"/>
        <n v="5000"/>
        <n v="-4920.41"/>
        <n v="5142.18"/>
        <n v="-5000"/>
        <n v="4778.23"/>
        <n v="-3192"/>
        <n v="3077.92"/>
        <n v="-4758.23"/>
        <n v="4928.63"/>
        <n v="4792.92"/>
        <n v="-4255"/>
        <n v="2.09"/>
        <n v="-72.34"/>
        <n v="4545.43"/>
        <n v="-300"/>
        <n v="5604.64"/>
        <n v="-4542"/>
        <n v="4713.08"/>
        <n v="-5700"/>
        <n v="5400"/>
        <n v="-5486.91"/>
        <n v="5491.87"/>
        <n v="-5117.62"/>
        <n v="1"/>
        <n v="4478.51"/>
        <n v="-4320"/>
        <n v="4411.58"/>
        <n v="-4360"/>
        <n v="0.37"/>
        <n v="22.05"/>
        <n v="0.28"/>
        <n v="0.01"/>
        <n v="1900"/>
        <n v="-1900"/>
        <n v="3000"/>
        <n v="-3000"/>
        <n v="1.32"/>
        <n v="5238.55"/>
        <n v="-1000"/>
        <n v="2000"/>
        <n v="1.46"/>
        <n v="-366.66"/>
        <n v="-3275"/>
        <n v="-66.47"/>
        <n v="-1000.1"/>
        <n v="1000.69"/>
        <n v="1000.71"/>
        <n v="-2000.2"/>
        <n v="-2000.1"/>
        <n v="8500"/>
        <n v="-8967.85"/>
        <n v="8711.67"/>
        <n v="-6489.13"/>
        <n v="-5496.04"/>
        <n v="2003.17"/>
        <n v="2001.73"/>
        <n v="1001.61"/>
        <n v="-5301.83"/>
        <n v="4690.13"/>
        <n v="9080.89"/>
        <n v="-9000.45"/>
        <n v="-4000"/>
        <n v="3.06"/>
        <n v="9008.3"/>
        <n v="40000"/>
        <n v="-10001"/>
        <n v="-5001"/>
        <n v="-10261.28"/>
        <n v="-3020"/>
        <n v="-993"/>
        <n v="10017.68"/>
        <n v="10019.22"/>
        <n v="10020.33"/>
        <n v="-5000.25"/>
        <n v="-4000.4"/>
        <n v="-6000.3"/>
        <n v="5004.57"/>
        <n v="-4673.31"/>
        <n v="5005.85"/>
        <n v="6007.94"/>
        <n v="-3917"/>
        <n v="-6283.14"/>
        <n v="5016.7"/>
        <n v="10017.45"/>
        <n v="4007.82"/>
        <n v="-4340.18"/>
        <n v="-251"/>
        <n v="-4085.18"/>
        <n v="-3615"/>
        <n v="-7308.03"/>
        <n v="3746.24"/>
        <n v="2236.76"/>
        <n v="1533.46"/>
        <n v="3816.17"/>
        <n v="-4577.03"/>
        <n v="-3675"/>
        <n v="3716.27"/>
        <n v="4532.46"/>
        <n v="-4463"/>
        <n v="4628.26"/>
        <n v="-4583.04"/>
        <n v="4658.2"/>
        <n v="-7838.61"/>
        <n v="3155.84"/>
        <n v="-4593.05"/>
        <n v="4613.11"/>
        <n v="4616.29"/>
        <n v="-7533.58"/>
        <n v="7623.66"/>
        <n v="-7723.79"/>
        <n v="7753.38"/>
        <n v="-7843.92"/>
        <n v="7808.26"/>
        <n v="-7598.35"/>
        <n v="4046.94"/>
        <n v="7514.19"/>
        <n v="-7458.5"/>
        <n v="-7523.57"/>
        <n v="-5894.48"/>
        <n v="6.23"/>
        <n v="5300"/>
        <n v="-5121.53"/>
        <n v="3526.46"/>
        <n v="3516.47"/>
        <n v="0.22"/>
        <n v="-6893.57"/>
        <n v="5861.67"/>
        <n v="-6041.94"/>
        <n v="10000"/>
        <n v="111.36"/>
        <n v="617.5"/>
        <n v="-10109.46"/>
        <n v="-5144.07"/>
        <n v="66.5"/>
        <n v="7400"/>
        <n v="-8086.42"/>
        <n v="38"/>
        <n v="372.93"/>
        <n v="0.81"/>
        <n v="8193.73"/>
        <n v="-6152.06"/>
        <n v="-2041.51"/>
        <n v="5022.01"/>
        <n v="12353.4"/>
        <n v="6057.25"/>
        <n v="5148.26"/>
        <n v="12181.01"/>
        <n v="-34219.74"/>
        <n v="-5397.11"/>
        <n v="5451.53"/>
        <n v="23490.42"/>
        <n v="-28656.45"/>
        <n v="-1244.06"/>
        <n v="-1.9"/>
        <n v="-3.5"/>
        <n v="-19.63"/>
        <n v="-2.6"/>
        <n v="-3.9"/>
        <n v="-6.5"/>
        <n v="-13"/>
        <n v="14568.85"/>
        <n v="-13600.6"/>
        <n v="18131.24"/>
        <n v="18141.22"/>
        <n v="-20882.96"/>
        <n v="18121.26"/>
        <n v="-11792.96"/>
        <n v="582.41"/>
        <n v="-19993.4"/>
        <n v="-3058.01"/>
        <n v="20002.4"/>
        <n v="-6227.14"/>
        <n v="-5160.97"/>
        <n v="-8685.9"/>
        <n v="9172.33"/>
        <n v="-6342.27"/>
        <n v="5418.3"/>
        <n v="6381.27"/>
        <n v="2.15"/>
        <n v="-6382.31"/>
        <n v="-8601.45"/>
        <n v="3084.41"/>
        <n v="-3109.5"/>
        <n v="-39997.2"/>
        <n v="40004.19"/>
        <n v="-2720"/>
        <n v="-7570"/>
        <n v="-8165"/>
        <n v="7670"/>
        <n v="6453.23"/>
        <n v="-15277.64"/>
        <n v="-9035"/>
        <n v="3940"/>
        <n v="7820"/>
        <n v="-3880"/>
        <n v="-13067.13"/>
        <n v="3935"/>
        <n v="19170.3"/>
        <n v="-19315.55"/>
        <n v="-3937.5"/>
        <n v="-2880"/>
        <n v="-3932.5"/>
        <n v="-3920"/>
        <n v="10743.86"/>
        <n v="-9998.4"/>
        <n v="11544.22"/>
        <n v="10001"/>
        <n v="-9996.4"/>
        <n v="-9995.2"/>
        <n v="20002.09"/>
        <n v="-19993.7"/>
        <n v="20002.8"/>
        <n v="-5235.3"/>
        <n v="8.3"/>
        <n v="3441.55"/>
        <n v="3421.57"/>
        <n v="-3360"/>
        <n v="-19018.58"/>
        <n v="-0.1"/>
        <n v="-790.6"/>
        <n v="5284.4"/>
        <n v="-5126.9"/>
        <n v="6102"/>
        <n v="10273.96"/>
        <n v="-4857.5"/>
        <n v="-4585"/>
        <n v="4627.5"/>
        <n v="13918.49"/>
        <n v="-4575"/>
        <n v="4577.5"/>
        <n v="4.63"/>
        <n v="-4605"/>
        <n v="-20395.03"/>
        <n v="4670"/>
        <n v="-4682.5"/>
        <n v="4785"/>
        <n v="4897.5"/>
        <n v="-9994.7"/>
        <n v="10001.04"/>
        <n v="-10354.71"/>
        <n v="431.48"/>
        <n v="-431.48"/>
        <n v="-19930"/>
        <n v="-19944"/>
        <n v="40003.79"/>
        <n v="-40004.4"/>
        <n v="19996.2"/>
        <n v="-8200.3"/>
        <n v="-11862.93"/>
        <n v="50001.5"/>
        <n v="-49934.15"/>
        <n v="7871.82"/>
        <n v="42728.62"/>
        <n v="8288.5"/>
        <n v="11993"/>
        <n v="60.33"/>
        <n v="-49999.02"/>
        <n v="-20951.27"/>
        <n v="33491.97"/>
        <n v="-31535.76"/>
        <n v="18000"/>
        <n v="-19959.8"/>
        <n v="6.2"/>
        <n v="20007.63"/>
        <n v="-20000"/>
        <n v="33143.42"/>
        <n v="-10135.67"/>
        <n v="-19998.6"/>
        <n v="20017.83"/>
        <n v="-19994"/>
        <n v="20002.16"/>
        <n v="-3235.3"/>
        <n v="100"/>
        <n v="-19993"/>
        <n v="20002.18"/>
        <n v="-8100"/>
        <n v="-8600.3"/>
        <n v="8990.69"/>
        <n v="3246.44"/>
        <n v="-8965.3"/>
        <n v="9425.26"/>
        <n v="9.52"/>
        <n v="-10816.01"/>
        <n v="-4521.24"/>
        <n v="41000"/>
        <n v="-41573.98"/>
        <n v="228"/>
        <n v="2.95"/>
        <n v="30000"/>
        <n v="-30054.01"/>
        <n v="53000"/>
        <n v="-20036.21"/>
        <n v="31750.55"/>
        <n v="-31411.03"/>
        <n v="-7803"/>
        <n v="-7635"/>
        <n v="33066.85"/>
        <n v="-32009.92"/>
        <n v="-7475"/>
        <n v="-7027"/>
        <n v="7235"/>
        <n v="8005"/>
        <n v="8155"/>
        <n v="28803.07"/>
        <n v="52423.74"/>
        <n v="28341.21"/>
        <n v="-16986.46"/>
        <n v="17376.01"/>
        <n v="-17206.53"/>
        <n v="-16626.35"/>
        <n v="-33452.77"/>
        <n v="17176.27"/>
        <n v="33913.11"/>
        <n v="-16686.37"/>
        <n v="36179.4"/>
        <n v="-5"/>
        <n v="-2"/>
        <n v="-24487.59"/>
        <n v="-25838.01"/>
        <n v="-25537.91"/>
        <n v="-34613.13"/>
        <n v="17695.59"/>
        <n v="-16886.43"/>
        <n v="-24667.64"/>
        <n v="-7775.6"/>
        <n v="50936.99"/>
        <n v="-52240.39"/>
        <n v="50624.3"/>
        <n v="52663.67"/>
        <n v="-25808"/>
        <n v="26811.69"/>
        <n v="-26528.22"/>
        <n v="-7885"/>
        <n v="-27008.37"/>
        <n v="-7619"/>
        <n v="-36461.31"/>
        <n v="27471.48"/>
        <n v="7845"/>
        <n v="7965"/>
        <n v="7886.94"/>
        <n v="-1965"/>
        <n v="-5882"/>
        <n v="-7929"/>
        <n v="68428.14"/>
        <n v="-7729"/>
        <n v="-7735.15"/>
        <n v="-7795"/>
        <n v="15547"/>
        <n v="15479.18"/>
        <n v="-15461"/>
        <n v="-13005.26"/>
        <n v="15643"/>
        <n v="-12855.26"/>
        <n v="15751"/>
        <n v="12881.85"/>
        <n v="-25908.55"/>
        <n v="-15733"/>
        <n v="26944.12"/>
        <n v="7971"/>
        <n v="8009"/>
        <n v="-60019.8"/>
        <n v="13820.88"/>
        <n v="-62215.53"/>
        <n v="123855.04"/>
        <n v="-62570.64"/>
        <n v="-75000"/>
        <n v="21166.81"/>
        <n v="21201.77"/>
        <n v="20932.12"/>
        <n v="-42664.07"/>
        <n v="42393.54"/>
        <n v="-13095"/>
        <n v="-7425"/>
        <n v="-18325.68"/>
        <n v="-18365.69"/>
        <n v="100000"/>
        <n v="-105707.16"/>
        <n v="40133.41"/>
        <n v="-40000"/>
        <n v="114847.52"/>
        <n v="-34211.28"/>
        <n v="-8115"/>
        <n v="-68861.34"/>
        <n v="8086.9"/>
        <n v="13341.38"/>
        <n v="6907.94"/>
        <n v="7167.68"/>
        <n v="-7105.14"/>
        <n v="34.14"/>
        <n v="66279.45"/>
        <n v="-90000"/>
        <n v="-8067.5"/>
        <n v="6675"/>
        <n v="1715.5"/>
        <n v="14980"/>
        <n v="-12045"/>
        <n v="12502.48"/>
        <n v="-4999.52"/>
        <n v="14.45"/>
        <n v="-9998.1"/>
        <n v="10000.7"/>
        <n v="-4535"/>
        <n v="102"/>
        <n v="-5851"/>
        <n v="-8840.18"/>
        <n v="6121"/>
        <n v="-5871"/>
        <n v="11368.35"/>
        <n v="6079"/>
        <n v="-6137"/>
        <n v="-10970.22"/>
        <n v="10873.89"/>
        <n v="-10700.21"/>
        <n v="6147"/>
        <n v="10694.08"/>
        <n v="7237.6"/>
        <n v="-6805.14"/>
        <n v="6758.09"/>
        <n v="-6795.14"/>
        <n v="6808.04"/>
        <n v="-17130.65"/>
        <n v="10.39"/>
        <n v="18100.89"/>
        <n v="-19997.8"/>
        <n v="-6233"/>
        <n v="6309"/>
        <n v="5522.76"/>
        <n v="-11489.23"/>
        <n v="-12765.26"/>
        <n v="10.25"/>
        <n v="-7692.5"/>
        <n v="7832.5"/>
        <n v="7157.69"/>
        <n v="13361.35"/>
        <n v="-13225.26"/>
        <n v="-6281"/>
        <n v="6245"/>
        <n v="7.97"/>
        <n v="-14495"/>
        <n v="-99984"/>
        <n v="100006.13"/>
        <n v="-10655"/>
        <n v="-13245.26"/>
        <n v="-6205"/>
        <n v="-13145.26"/>
        <n v="-10535"/>
        <n v="-14009"/>
        <n v="-32660.78"/>
        <n v="-39991.2"/>
        <n v="40002.46"/>
        <n v="14542.44"/>
        <n v="-39986.4"/>
        <n v="-6023"/>
        <n v="15279.7"/>
        <n v="-10685"/>
        <n v="-8725.18"/>
        <n v="40002.52"/>
        <n v="6337"/>
        <n v="-8795.18"/>
        <n v="2799.3"/>
        <n v="18818.94"/>
        <n v="10934.05"/>
        <n v="-39994.8"/>
        <n v="3915.99"/>
        <n v="40002.57"/>
        <n v="5949.04"/>
        <n v="-10895"/>
        <n v="-16265.36"/>
        <n v="17876.18"/>
        <n v="-27769.17"/>
        <n v="15998.66"/>
        <n v="27922.81"/>
        <n v="-17665.82"/>
        <n v="-28109.27"/>
        <n v="-10865"/>
        <n v="17796.3"/>
        <n v="-17645.82"/>
        <n v="11683.3"/>
        <n v="28142.52"/>
        <n v="-14185"/>
        <n v="17836.24"/>
        <n v="-14375"/>
        <n v="-17625.81"/>
        <n v="18315.6"/>
        <n v="-14075"/>
        <n v="35143.9"/>
        <n v="-13325.27"/>
        <n v="-13935"/>
        <n v="-13755"/>
        <n v="-13175"/>
        <n v="28282.33"/>
        <n v="-12705"/>
        <n v="37331.03"/>
        <n v="-6531"/>
        <n v="-12695.25"/>
        <n v="-27.99"/>
        <n v="-55.99"/>
        <n v="6481"/>
        <n v="12582.15"/>
        <n v="-6447"/>
        <n v="-11135"/>
        <n v="-3825.08"/>
        <n v="6469"/>
        <n v="11713.27"/>
        <n v="3896.01"/>
        <n v="-39412.21"/>
        <n v="40446.93"/>
        <n v="-39995.2"/>
        <n v="-9998.8"/>
        <n v="-14805.3"/>
        <n v="14939.74"/>
        <n v="-7070.14"/>
        <n v="-14565.29"/>
        <n v="71404.89"/>
        <n v="-111.97"/>
        <n v="-72601.55"/>
        <n v="1000"/>
        <n v="450"/>
        <n v="49998.5"/>
        <n v="-21126.97"/>
        <n v="-12345.25"/>
        <n v="44.19"/>
        <n v="-13825.28"/>
        <n v="12492.23"/>
        <n v="-14360"/>
        <n v="6313.52"/>
        <n v="14110.87"/>
        <n v="-13545.27"/>
        <n v="-8821.18"/>
        <n v="13740.96"/>
        <n v="8946.86"/>
        <n v="-20"/>
        <n v="-9"/>
        <n v="-13725.28"/>
        <n v="-8987.9"/>
        <n v="30.51"/>
        <n v="9007.6"/>
        <n v="-9035.18"/>
        <n v="-26328.69"/>
        <n v="26844.25"/>
        <n v="-26688.8"/>
        <n v="6871"/>
        <n v="9315.48"/>
        <n v="-19994.8"/>
        <n v="-11"/>
        <n v="20002.53"/>
        <n v="85426.23"/>
        <n v="-13025.26"/>
        <n v="-16380.41"/>
        <n v="13141.58"/>
        <n v="-8502.5"/>
        <n v="-16180.33"/>
        <n v="39000"/>
        <n v="-48148.72"/>
        <n v="-38856.04"/>
        <n v="8620"/>
        <n v="16378.19"/>
        <n v="11880.2"/>
        <n v="81214.82"/>
        <n v="-109978"/>
        <n v="9000"/>
        <n v="-50952.76"/>
        <n v="33405.51"/>
        <n v="12615"/>
        <n v="-12615"/>
        <n v="110015.32"/>
        <n v="-70000"/>
        <n v="-43030.32"/>
        <n v="12485"/>
        <n v="-9470"/>
        <n v="38312.04"/>
        <n v="-25407.87"/>
        <n v="-12461"/>
        <n v="50573.66"/>
        <n v="-51016.83"/>
        <n v="17208.59"/>
        <n v="16268.33"/>
        <n v="-58222.2"/>
        <n v="37330.28"/>
        <n v="-12585"/>
        <n v="12322.86"/>
        <n v="13045"/>
        <n v="-25367.86"/>
        <n v="-37835.74"/>
        <n v="-9625"/>
        <n v="59515.74"/>
        <n v="-12055"/>
        <n v="14765"/>
        <n v="11645"/>
        <n v="-13285"/>
        <n v="-13125"/>
        <n v="4710.4"/>
        <n v="-16905.58"/>
        <n v="25232.18"/>
        <n v="-13037"/>
        <n v="-5276.88"/>
        <n v="17351.88"/>
        <n v="-12075"/>
        <n v="80000"/>
        <n v="29939.3"/>
        <n v="-29981.7"/>
        <n v="-79957.6"/>
        <n v="110002.54"/>
        <n v="-30003.34"/>
        <n v="-79999.2"/>
        <n v="9305"/>
        <n v="-9305"/>
        <n v="17155.66"/>
        <n v="-17155.66"/>
        <n v="80020.93"/>
        <n v="-80021.93"/>
        <n v="24938.73"/>
        <n v="-24937.73"/>
        <n v="59932.8"/>
        <n v="-59932.8"/>
        <n v="60015.14"/>
        <n v="19.3"/>
        <n v="-60016.14"/>
        <n v="63.22"/>
        <n v="16423.93"/>
        <n v="-16505.45"/>
        <n v="9997.4"/>
        <n v="-9997.4"/>
        <n v="31000"/>
        <n v="28996.7"/>
        <n v="-9995.7"/>
        <n v="-30000.6"/>
        <n v="-10000.2"/>
        <n v="10000.88"/>
        <n v="-10000"/>
        <n v="-60040.26"/>
        <n v="30021.81"/>
        <n v="10007.47"/>
        <n v="10008.22"/>
        <n v="10726"/>
        <n v="-10725"/>
        <n v="-11115"/>
        <n v="11115"/>
        <n v="-16902.48"/>
        <n v="16902.48"/>
        <n v="17585.8"/>
        <n v="-17585.8"/>
        <n v="-15030.9"/>
        <n v="25856.08"/>
        <n v="24393.79"/>
        <n v="-24727.66"/>
        <n v="60896.75"/>
        <n v="18814.94"/>
        <n v="17077.26"/>
        <n v="-10145"/>
        <n v="-86000.86"/>
        <n v="-86679.09"/>
        <n v="86035.06"/>
        <n v="0.03"/>
        <n v="86679.05"/>
        <n v="11005"/>
        <n v="-97000.97"/>
        <n v="-97726.11"/>
        <n v="97043.05"/>
        <n v="0.07"/>
        <n v="24938.74"/>
        <n v="-10925.17"/>
        <n v="111.03"/>
        <n v="-21686.72"/>
        <n v="21571.7"/>
        <n v="-24687.62"/>
        <n v="24687.62"/>
        <n v="24727.66"/>
        <n v="-21312.04"/>
        <n v="21312.04"/>
        <n v="100001"/>
        <n v="-100002"/>
        <n v="4.56"/>
        <n v="325.11"/>
        <n v="24819.12"/>
        <n v="-25147.79"/>
        <n v="7005"/>
        <n v="-7005"/>
        <n v="19120"/>
        <n v="-7705"/>
        <n v="7625"/>
        <n v="-7615"/>
        <n v="-11425"/>
        <n v="11405"/>
        <n v="-11405"/>
        <n v="-13975"/>
        <n v="13975"/>
        <n v="-22393.06"/>
        <n v="22393.06"/>
        <n v="19999"/>
        <n v="58894.27"/>
        <n v="-58188.03"/>
        <n v="20334.01"/>
        <n v="-21040.25"/>
        <n v="21040.25"/>
        <n v="-20905.68"/>
        <n v="-20421.68"/>
        <n v="20288.11"/>
        <n v="20421.68"/>
        <n v="-19824.14"/>
        <n v="20223.47"/>
        <n v="-20148.24"/>
        <n v="19926.86"/>
        <n v="-20474.35"/>
        <n v="400"/>
        <n v="20318.17"/>
        <n v="-5138.45"/>
        <n v="-15705"/>
        <n v="-11385.2"/>
        <n v="-5049.7"/>
        <n v="16434.9"/>
        <n v="2.18"/>
        <n v="-5015.3"/>
        <n v="5015.3"/>
        <n v="109.59"/>
        <n v="15773.23"/>
        <n v="-15885"/>
        <n v="-16374.92"/>
        <n v="16374.92"/>
        <n v="22140.64"/>
        <n v="-21486.66"/>
        <n v="562.5"/>
        <n v="-1217.48"/>
        <n v="-7405.39"/>
        <n v="4440"/>
        <n v="21811.39"/>
        <n v="-14405"/>
        <n v="5785"/>
        <n v="-10225"/>
        <n v="15035"/>
        <n v="-14965"/>
        <n v="-24680"/>
        <n v="9715"/>
        <n v="14895"/>
        <n v="15665"/>
        <n v="-15665"/>
        <n v="11852.87"/>
        <n v="-11843.4"/>
        <n v="-11882.07"/>
        <n v="11872.6"/>
        <n v="-16075"/>
        <n v="16075"/>
        <n v="15565"/>
        <n v="-15565"/>
        <n v="15635"/>
        <n v="-24367.55"/>
        <n v="24477.89"/>
        <n v="-15525"/>
        <n v="-26923.74"/>
        <n v="15335"/>
        <n v="18575.26"/>
        <n v="-18956.25"/>
        <n v="19224.38"/>
        <n v="9995.01"/>
        <n v="7505"/>
        <n v="-5795"/>
        <n v="-11705"/>
        <n v="-12312.42"/>
        <n v="12312.42"/>
        <n v="8196.94"/>
        <n v="-11745"/>
        <n v="-5715"/>
        <n v="-8405"/>
        <n v="5745"/>
        <n v="11923.06"/>
        <n v="11107.51"/>
        <n v="-12255"/>
        <n v="-5865"/>
        <n v="5885"/>
        <n v="-11365"/>
        <n v="12492.49"/>
        <n v="-10548.79"/>
        <n v="-22176.87"/>
        <n v="8475"/>
        <n v="-5875"/>
        <n v="11943.04"/>
        <n v="12357.62"/>
        <n v="5825"/>
        <n v="-13251.68"/>
        <n v="-5695"/>
        <n v="5765"/>
        <n v="21586.68"/>
        <n v="6050"/>
        <n v="5865"/>
        <n v="8285"/>
        <n v="-8355"/>
        <n v="-11845"/>
        <n v="12205"/>
        <n v="-12205"/>
        <n v="-12565"/>
        <n v="12535"/>
        <n v="-12485"/>
        <n v="12515"/>
        <n v="8815"/>
        <n v="-8845"/>
        <n v="60.75"/>
        <n v="-17425.4"/>
        <n v="12695"/>
        <n v="17294.65"/>
        <n v="-12625"/>
        <n v="29780.33"/>
        <n v="-17205.33"/>
        <n v="12435"/>
        <n v="-12445"/>
        <n v="-41396.61"/>
        <n v="24712.34"/>
        <n v="33709.55"/>
        <n v="-17025.28"/>
        <n v="11375.23"/>
        <n v="-11375.23"/>
        <n v="31804.54"/>
        <n v="-18355.69"/>
        <n v="-25"/>
        <n v="-1.75"/>
        <n v="-13.25"/>
        <n v="-12106.7"/>
        <n v="13175"/>
        <n v="11892.84"/>
        <n v="-13245"/>
        <n v="-13634.99"/>
        <n v="13635"/>
        <n v="17734.5"/>
        <n v="-17585.45"/>
        <n v="-1.25"/>
        <n v="-13.75"/>
        <n v="13330.95"/>
        <n v="-13465"/>
        <n v="-13615"/>
        <n v="13615"/>
        <n v="-19374.59"/>
        <n v="19374.59"/>
        <n v="17685.48"/>
        <n v="-17685.48"/>
        <n v="-17665.47"/>
        <n v="-50"/>
        <n v="2.8"/>
        <n v="-22202.99"/>
        <n v="35588.96"/>
        <n v="-13405"/>
        <n v="101.43"/>
        <n v="-13557.8"/>
        <n v="13555"/>
        <n v="18654.38"/>
        <n v="-18755.81"/>
        <n v="13165"/>
        <n v="-13165"/>
        <n v="-12635"/>
        <n v="12635"/>
        <n v="999"/>
        <n v="43292.26"/>
        <n v="-43000.43"/>
        <n v="-43404.93"/>
        <n v="43113.1"/>
        <n v="43404.93"/>
        <n v="-43415.1"/>
        <n v="43010.6"/>
        <n v="18866.85"/>
        <n v="-18865.85"/>
        <n v="-5049.19"/>
        <n v="18734.19"/>
        <n v="-13685"/>
        <n v="-12429.8"/>
        <n v="12429.8"/>
        <n v="17705.49"/>
        <n v="-17705.49"/>
        <n v="12012.53"/>
        <n v="1192.47"/>
        <n v="-13205"/>
        <n v="-12270.5"/>
        <n v="12316"/>
        <n v="-31793.51"/>
        <n v="19474.45"/>
        <n v="-19115.92"/>
        <n v="13575"/>
        <n v="17814.48"/>
        <n v="21.37"/>
        <n v="13535"/>
        <n v="19334.64"/>
        <n v="-13485"/>
        <n v="-19406.01"/>
        <n v="16266.23"/>
        <n v="-17465.41"/>
        <n v="13335"/>
        <n v="19154.87"/>
        <n v="-18345.69"/>
        <n v="-12945"/>
        <n v="3850.14"/>
        <n v="12735"/>
        <n v="-16585.14"/>
        <n v="-3889.8"/>
        <n v="16754.8"/>
        <n v="-12865"/>
        <n v="-7993.97"/>
        <n v="12595.6"/>
        <n v="16454.9"/>
        <n v="-21056.53"/>
        <n v="-20872.62"/>
        <n v="20872.62"/>
        <n v="-18655.53"/>
        <n v="18655.53"/>
        <n v="31631.67"/>
        <n v="-13325"/>
        <n v="-18305.67"/>
        <n v="-18725.44"/>
        <n v="18725.44"/>
        <n v="12745"/>
        <n v="-12745"/>
        <n v="18035.59"/>
        <n v="-18035.59"/>
        <n v="22176.87"/>
        <n v="-22530.45"/>
        <n v="22530.45"/>
        <n v="10305"/>
        <n v="-10305"/>
        <n v="-7104.09"/>
        <n v="1009.09"/>
        <n v="-11765"/>
        <n v="12075"/>
        <n v="70"/>
        <n v="-11985"/>
        <n v="11915"/>
        <n v="15076"/>
        <n v="-11905"/>
        <n v="-2170"/>
        <n v="-12095"/>
        <n v="12095"/>
        <n v="-15515"/>
        <n v="15515"/>
        <n v="32000"/>
        <n v="3.53"/>
        <n v="-50066.3"/>
        <n v="18066.3"/>
        <n v="4000"/>
        <n v="163.24"/>
        <n v="-16059.09"/>
        <n v="4340.56"/>
        <n v="11715"/>
        <n v="-60"/>
        <n v="16992.06"/>
        <n v="-17095.3"/>
        <n v="75137.09"/>
        <n v="-30769.54"/>
        <n v="-44000.44"/>
        <n v="-44432.64"/>
        <n v="44064.53"/>
        <n v="-31269.3"/>
        <n v="31270.3"/>
        <n v="17155.32"/>
        <n v="-17155.32"/>
        <n v="-5707.76"/>
        <n v="16957.76"/>
        <n v="-11250"/>
        <n v="31889.88"/>
        <n v="-31889.88"/>
        <n v="-14255.1"/>
        <n v="31150.34"/>
        <n v="-16895.24"/>
        <n v="-5062.72"/>
        <n v="16987.72"/>
        <n v="-11925"/>
        <n v="-1118.38"/>
        <n v="1118.38"/>
        <n v="15345"/>
        <n v="-15345"/>
        <n v="15330.56"/>
        <n v="-15365"/>
        <n v="15539.43"/>
        <n v="-15505"/>
        <n v="-15574.22"/>
        <n v="31079.23"/>
        <n v="24020"/>
        <n v="-15735"/>
        <n v="-14485"/>
        <n v="-25854.03"/>
        <n v="9955"/>
        <n v="-15895"/>
        <n v="-14565"/>
        <n v="15949.03"/>
        <n v="14495"/>
        <n v="39533.39"/>
        <n v="-14625"/>
        <n v="-16143"/>
        <n v="-8057"/>
        <n v="6500"/>
        <n v="-16250"/>
        <n v="16408.48"/>
        <n v="13075"/>
        <n v="-13761"/>
        <n v="-16345.07"/>
        <n v="29950.71"/>
        <n v="48656.18"/>
        <n v="-16105"/>
        <n v="-14685"/>
        <n v="-48085.86"/>
        <n v="10918.95"/>
        <n v="-30584.54"/>
        <n v="16188.76"/>
        <n v="14715"/>
        <n v="-11305"/>
        <n v="-62204.27"/>
        <n v="40122.37"/>
        <n v="46168.52"/>
        <n v="-32249.99"/>
        <n v="10959.02"/>
        <n v="-24247.51"/>
        <n v="21451.86"/>
        <n v="-23292.76"/>
        <n v="23352.76"/>
        <n v="-30799.6"/>
        <n v="30799.61"/>
        <n v="10984.99"/>
        <n v="-10985"/>
        <n v="10065"/>
        <n v="-10065"/>
        <n v="24880.47"/>
        <n v="-9725"/>
        <n v="17634.53"/>
        <n v="-10010"/>
        <n v="-9295"/>
        <n v="35648.46"/>
        <n v="-12345"/>
        <n v="-9025"/>
        <n v="-10085"/>
        <n v="13441.54"/>
        <n v="9155"/>
        <n v="-13425"/>
        <n v="-21306.79"/>
        <n v="-13145"/>
        <n v="12235"/>
        <n v="12922.06"/>
        <n v="9215"/>
        <n v="-13285.27"/>
        <n v="8645"/>
        <n v="-8645"/>
        <n v="-35821.96"/>
        <n v="36071.96"/>
        <n v="-9465"/>
        <n v="15705"/>
        <n v="9275"/>
        <n v="-13255"/>
        <n v="-11725"/>
        <n v="1601.88"/>
        <n v="11863.12"/>
        <n v="-22301.62"/>
        <n v="-5085"/>
        <n v="13691.29"/>
        <n v="13641.07"/>
        <n v="-13645"/>
        <n v="27244.27"/>
        <n v="-13545"/>
        <n v="6299.99"/>
        <n v="5445"/>
        <n v="20179.83"/>
        <n v="10575"/>
        <n v="-11135.2"/>
        <n v="-10765"/>
        <n v="11623.38"/>
        <n v="-9125.6"/>
        <n v="-11525"/>
        <n v="28962.01"/>
        <n v="-14825"/>
        <n v="-11825"/>
        <n v="-31473.21"/>
        <n v="14929"/>
        <n v="10395"/>
        <n v="-10545"/>
        <n v="-11085"/>
        <n v="-11145"/>
        <n v="6115"/>
        <n v="15189.79"/>
        <n v="10935"/>
        <n v="-7550"/>
        <n v="11555"/>
        <n v="-10785"/>
        <n v="10995"/>
        <n v="-39801.02"/>
        <n v="11235"/>
        <n v="11995"/>
        <n v="10424.57"/>
        <n v="11423.56"/>
        <n v="22233.11"/>
        <n v="-24287.53"/>
        <n v="7662.32"/>
        <n v="-10885"/>
        <n v="28.99"/>
        <n v="-30"/>
        <n v="-9864"/>
        <n v="12495"/>
        <n v="-11505"/>
        <n v="12475"/>
        <n v="-15135"/>
        <n v="11535"/>
        <n v="-18964.38"/>
        <n v="15594.38"/>
        <n v="11135"/>
        <n v="-7765"/>
        <n v="5.74"/>
        <n v="400.97"/>
        <n v="1706.35"/>
        <n v="-10160"/>
        <n v="8046.94"/>
        <n v="-100000"/>
        <n v="7105"/>
        <n v="-7105"/>
        <n v="-7695"/>
        <n v="7695"/>
        <n v="7265"/>
        <n v="-7265"/>
        <n v="7795"/>
        <n v="9755"/>
        <n v="-9755"/>
        <n v="160000"/>
        <n v="30478.19"/>
        <n v="-189880.3"/>
        <n v="190019.64"/>
        <n v="-160000"/>
        <n v="-30618.53"/>
        <n v="9456"/>
        <n v="-9455"/>
        <n v="17550"/>
        <n v="-7805"/>
        <n v="-9745"/>
        <n v="3612.53"/>
        <n v="10355"/>
        <n v="-13851"/>
        <n v="-8178.45"/>
        <n v="8061.92"/>
        <n v="5155"/>
        <n v="-5155"/>
        <n v="3023.45"/>
        <n v="-2987"/>
        <n v="5.32"/>
        <n v="178.64"/>
        <n v="5030.69"/>
        <n v="-5141"/>
        <n v="290"/>
        <n v="6060.93"/>
        <n v="-6437.8"/>
        <n v="6380"/>
        <n v="-6404.23"/>
        <n v="6404.23"/>
        <n v="-6125"/>
        <n v="-6287.21"/>
        <n v="6008.98"/>
        <n v="6000"/>
        <n v="-6000"/>
        <n v="4.99"/>
        <n v="3"/>
        <n v="-0.6"/>
        <n v="1.36"/>
        <n v="-1980"/>
        <n v="1.27"/>
        <n v="-4775.56"/>
        <n v="4745.24"/>
        <n v="2999"/>
        <n v="5063"/>
        <n v="-5063"/>
        <n v="11.69"/>
        <n v="0.09"/>
        <n v="5"/>
        <n v="-1"/>
        <n v="250332.05"/>
        <n v="-250447.86"/>
        <n v="28359.79"/>
        <n v="-28358.79"/>
        <n v="222000"/>
        <n v="-222000"/>
        <n v="2.79"/>
        <n v="34.37"/>
        <n v="-31134.28"/>
        <n v="31408.8"/>
        <n v="-2132.18"/>
        <n v="20000"/>
        <n v="-21538.64"/>
        <n v="-0.01"/>
        <n v="-19895.05"/>
        <n v="-0.02"/>
        <n v="-1479.6"/>
        <n v="-0.03"/>
        <n v="-18721.63"/>
        <n v="3700.62"/>
        <n v="50"/>
        <n v="2.47"/>
        <n v="2.04"/>
        <n v="-23666.73"/>
        <n v="-0.06"/>
        <n v="-0.08"/>
        <n v="-0.11"/>
        <n v="-0.14"/>
        <n v="-0.2"/>
        <n v="-1608"/>
        <n v="951.45"/>
        <n v="1692.5"/>
        <n v="-2663.11"/>
        <n v="0.06"/>
        <n v="0.02"/>
        <n v="-2633"/>
        <n v="2662.94"/>
        <n v="-2993.2"/>
        <n v="6027.5"/>
        <n v="-6064.15"/>
        <n v="0.08"/>
        <n v="-6041.3"/>
        <n v="6063.97"/>
        <n v="19000"/>
        <n v="-1346.33"/>
        <n v="-0.05"/>
        <n v="0.05"/>
        <n v="-18676.14"/>
        <n v="7815.2"/>
        <n v="-9615.17"/>
        <n v="1800"/>
        <n v="-5461"/>
        <n v="5461.03"/>
        <n v="5559"/>
        <n v="6721"/>
        <n v="-12282.06"/>
        <n v="4.13"/>
        <n v="3952"/>
        <n v="-3956.1"/>
        <n v="18283.83"/>
        <n v="-18283.63"/>
        <n v="19026.43"/>
        <n v="-18469.34"/>
        <n v="-4248.82"/>
        <n v="4773.11"/>
        <n v="-1080.86"/>
        <n v="5153.47"/>
        <n v="18782.97"/>
        <n v="-18719.75"/>
        <n v="-5216.58"/>
        <n v="-0.04"/>
        <n v="0.04"/>
        <n v="12674.29"/>
        <n v="-12674.23"/>
        <n v="12653.08"/>
        <n v="-12653"/>
        <n v="425"/>
        <n v="-1452.34"/>
        <n v="-18421.37"/>
        <n v="2.83"/>
        <n v="29.46"/>
        <n v="-1845.04"/>
        <n v="-27901.82"/>
        <n v="-0.31"/>
        <n v="28000"/>
        <n v="-1593.58"/>
        <n v="-26452.81"/>
        <n v="-0.13"/>
        <n v="3002.17"/>
        <n v="704.23"/>
        <n v="-4495"/>
        <n v="0.13"/>
        <n v="-0.17"/>
        <n v="0.17"/>
        <n v="3024"/>
        <n v="-3028"/>
        <n v="28982.28"/>
        <n v="-25814.52"/>
        <n v="-3167.72"/>
        <n v="-7881"/>
        <n v="8247.74"/>
        <n v="7569.56"/>
        <n v="-0.15"/>
        <n v="-7935.95"/>
        <n v="0.15"/>
        <n v="8309.04"/>
        <n v="-8308.96"/>
        <n v="8250.07"/>
        <n v="5014.97"/>
        <n v="-13265"/>
        <n v="1.8"/>
        <n v="18.9"/>
        <n v="25000"/>
        <n v="-5806.11"/>
        <n v="-0.4"/>
        <n v="-18657.17"/>
        <n v="-0.18"/>
        <n v="0.96"/>
        <n v="7.17"/>
        <n v="-0.36"/>
        <n v="-14559.68"/>
        <n v="14000.33"/>
        <n v="0.18"/>
        <n v="-14650.27"/>
        <n v="14650.33"/>
        <n v="-16140.89"/>
        <n v="16140.94"/>
        <n v="-0.3"/>
        <n v="0.3"/>
        <n v="0.1"/>
        <n v="16469.38"/>
        <n v="-16469.33"/>
        <n v="-17113.47"/>
        <n v="17113.52"/>
        <n v="13725.05"/>
        <n v="-13725"/>
        <n v="0.2"/>
        <n v="0.73"/>
        <n v="-14181.48"/>
        <n v="14180.8"/>
        <n v="136.58"/>
        <n v="12628.47"/>
        <n v="-12765"/>
        <n v="-14100.83"/>
        <n v="14100.88"/>
        <n v="5616"/>
        <n v="-5615.95"/>
        <n v="59156.68"/>
        <n v="-59156.53"/>
        <n v="-10348.95"/>
        <n v="10307"/>
        <n v="10359"/>
        <n v="10265.05"/>
        <n v="-10317"/>
        <n v="-10265"/>
        <n v="-59322.08"/>
        <n v="59322.13"/>
        <n v="13175.13"/>
        <n v="66"/>
        <n v="11999.54"/>
        <n v="18105.04"/>
        <n v="-6159.72"/>
        <n v="-12065.24"/>
        <n v="12162.58"/>
        <n v="11728.07"/>
        <n v="-11945.24"/>
        <n v="12000"/>
        <n v="7905.44"/>
        <n v="-19905.4"/>
        <n v="-11825.2"/>
        <n v="-0.12"/>
        <n v="0.12"/>
        <n v="12042.7"/>
        <n v="-12110.35"/>
        <n v="12012.97"/>
        <n v="11778.48"/>
        <n v="-13.2"/>
        <n v="60.12"/>
        <n v="-11922.66"/>
        <n v="-12704.94"/>
        <n v="11945.28"/>
        <n v="-12042.54"/>
        <n v="12282.45"/>
        <n v="-12185.24"/>
        <n v="23493.46"/>
        <n v="-12035.24"/>
        <n v="-11885.24"/>
        <n v="-11892.56"/>
        <n v="-12012.54"/>
        <n v="85"/>
        <n v="-12247.38"/>
        <n v="4847.27"/>
        <n v="8306.51"/>
        <n v="14145.48"/>
        <n v="-14525"/>
        <n v="19.16"/>
        <n v="-13044.05"/>
        <n v="19.66"/>
        <n v="-15459.37"/>
        <n v="15459.52"/>
        <n v="-12185.19"/>
        <n v="25050.05"/>
        <n v="-16785"/>
        <n v="-8384.85"/>
        <n v="8515"/>
        <n v="8265.05"/>
        <n v="-8395"/>
        <n v="8145.05"/>
        <n v="-8265"/>
        <n v="5.58"/>
        <n v="-8264.95"/>
        <n v="8375"/>
        <n v="146.86"/>
        <n v="-8380.53"/>
        <n v="8505"/>
        <n v="6912"/>
        <n v="-12000"/>
        <n v="4942.19"/>
        <n v="16390.15"/>
        <n v="-8385"/>
        <n v="-8255"/>
        <n v="-8254.95"/>
        <n v="8365"/>
        <n v="-8374.95"/>
        <n v="8495"/>
        <n v="-8494.85"/>
        <n v="8685"/>
        <n v="29617.02"/>
        <n v="-8555"/>
        <n v="-8913.64"/>
        <n v="-8544.96"/>
        <n v="-12288.28"/>
        <n v="8655.15"/>
        <n v="-8594.95"/>
        <n v="-8615"/>
        <n v="8745"/>
        <n v="-12305.25"/>
        <n v="11276.03"/>
        <n v="-12155.24"/>
        <n v="8645.05"/>
        <n v="-20817.4"/>
        <n v="8825"/>
        <n v="24205.05"/>
        <n v="-24205"/>
        <n v="12432.29"/>
        <n v="-7409.03"/>
        <n v="12432.3"/>
        <n v="-200"/>
        <n v="200.15"/>
        <n v="-23721.2"/>
        <n v="23721.24"/>
        <n v="-500"/>
        <n v="12625.29"/>
        <n v="-12275.24"/>
        <n v="11825.28"/>
        <n v="12192.55"/>
        <n v="-12125.24"/>
        <n v="-24361.92"/>
        <n v="12252.48"/>
        <n v="12402.33"/>
        <n v="8555.04"/>
        <n v="-8695"/>
        <n v="8415.15"/>
        <n v="-7544.95"/>
        <n v="-5198.95"/>
        <n v="-30000"/>
        <n v="-4446.2"/>
        <n v="11.76"/>
        <n v="23614.05"/>
        <n v="2892.43"/>
        <n v="165"/>
        <n v="-2904"/>
        <n v="2904"/>
        <n v="-11709"/>
        <n v="-3068.87"/>
        <n v="-0.25"/>
        <n v="0.25"/>
        <n v="1785.05"/>
        <n v="-1785"/>
        <n v="-3091.85"/>
        <n v="3091.9"/>
        <n v="-0.49"/>
        <n v="0.49"/>
        <n v="14.34"/>
        <n v="-0.24"/>
        <n v="-0.21"/>
        <n v="-0.16"/>
        <n v="26000"/>
        <n v="4019.5"/>
        <n v="-30030"/>
        <n v="-31117.07"/>
        <n v="31117.19"/>
        <n v="16.54"/>
        <n v="13392"/>
        <n v="45454.93"/>
        <n v="1858.07"/>
        <n v="-47329.46"/>
        <n v="-13391.96"/>
        <m/>
      </sharedItems>
    </cacheField>
    <cacheField name="资金余额" numFmtId="0">
      <sharedItems containsString="0" containsBlank="1" containsNumber="1" minValue="-97038.05" maxValue="250447.86" count="1628">
        <n v="0"/>
        <n v="5000"/>
        <n v="79.59"/>
        <n v="5221.77"/>
        <n v="221.77"/>
        <n v="1808"/>
        <n v="4885.92"/>
        <n v="127.69"/>
        <n v="5056.32"/>
        <n v="298.09"/>
        <n v="5091.01"/>
        <n v="836.01"/>
        <n v="838.1"/>
        <n v="765.76"/>
        <n v="5311.19"/>
        <n v="311.19"/>
        <n v="11.19"/>
        <n v="5615.83"/>
        <n v="1073.83"/>
        <n v="5786.91"/>
        <n v="86.91"/>
        <n v="5486.91"/>
        <n v="5491.87"/>
        <n v="374.25"/>
        <n v="375.25"/>
        <n v="75.25"/>
        <n v="4553.76"/>
        <n v="233.76"/>
        <n v="4645.34"/>
        <n v="285.34"/>
        <n v="285.71"/>
        <n v="307.76"/>
        <n v="7.76"/>
        <n v="8.04"/>
        <n v="8.05"/>
        <n v="8.06"/>
        <n v="1908.06"/>
        <n v="3008.06"/>
        <n v="9.38"/>
        <n v="5247.93"/>
        <n v="4247.93"/>
        <n v="6247.93"/>
        <n v="6249.39"/>
        <n v="5882.73"/>
        <n v="2607.73"/>
        <n v="2541.26"/>
        <n v="1541.16"/>
        <n v="541.06"/>
        <n v="1541.75"/>
        <n v="2542.46"/>
        <n v="4542.46"/>
        <n v="2542.26"/>
        <n v="1542.16"/>
        <n v="3542.16"/>
        <n v="1542.06"/>
        <n v="10042.06"/>
        <n v="1074.21"/>
        <n v="4074.21"/>
        <n v="12785.88"/>
        <n v="6296.75"/>
        <n v="800.71"/>
        <n v="2803.88"/>
        <n v="4805.61"/>
        <n v="5807.22"/>
        <n v="505.39"/>
        <n v="5195.52"/>
        <n v="14276.41"/>
        <n v="5275.96"/>
        <n v="4275.96"/>
        <n v="275.96"/>
        <n v="279.02"/>
        <n v="9287.32"/>
        <n v="49287.32"/>
        <n v="39286.32"/>
        <n v="34285.32"/>
        <n v="24284.32"/>
        <n v="14283.32"/>
        <n v="4022.04"/>
        <n v="1002.04"/>
        <n v="9.04"/>
        <n v="10026.72"/>
        <n v="20045.94"/>
        <n v="30066.27"/>
        <n v="20065.27"/>
        <n v="15065.02"/>
        <n v="10064.77"/>
        <n v="6064.37"/>
        <n v="64.07"/>
        <n v="5068.64"/>
        <n v="395.33"/>
        <n v="5401.18"/>
        <n v="11409.12"/>
        <n v="7492.12"/>
        <n v="1208.98"/>
        <n v="6225.68"/>
        <n v="16243.13"/>
        <n v="20250.95"/>
        <n v="15910.77"/>
        <n v="15659.77"/>
        <n v="11574.59"/>
        <n v="7959.59"/>
        <n v="651.56"/>
        <n v="4397.8"/>
        <n v="6634.56"/>
        <n v="8168.02"/>
        <n v="11984.19"/>
        <n v="7407.16"/>
        <n v="3732.16"/>
        <n v="7448.43"/>
        <n v="11980.89"/>
        <n v="7517.89"/>
        <n v="12146.15"/>
        <n v="7563.11"/>
        <n v="12221.31"/>
        <n v="4382.7"/>
        <n v="7538.54"/>
        <n v="12196.74"/>
        <n v="7603.69"/>
        <n v="12216.8"/>
        <n v="16833.09"/>
        <n v="9299.51"/>
        <n v="16923.17"/>
        <n v="9199.38"/>
        <n v="16952.76"/>
        <n v="9108.84"/>
        <n v="16917.1"/>
        <n v="9318.75"/>
        <n v="13365.69"/>
        <n v="20879.88"/>
        <n v="13421.38"/>
        <n v="5897.81"/>
        <n v="3.33"/>
        <n v="9.56"/>
        <n v="5309.56"/>
        <n v="188.03"/>
        <n v="3714.49"/>
        <n v="7230.96"/>
        <n v="7231.18"/>
        <n v="337.61"/>
        <n v="6199.28"/>
        <n v="157.34"/>
        <n v="10157.34"/>
        <n v="15157.34"/>
        <n v="15268.7"/>
        <n v="15886.2"/>
        <n v="5776.74"/>
        <n v="632.67"/>
        <n v="699.17"/>
        <n v="8099.17"/>
        <n v="12.75"/>
        <n v="50.75"/>
        <n v="423.68"/>
        <n v="424.49"/>
        <n v="124.49"/>
        <n v="8318.22"/>
        <n v="2166.16"/>
        <n v="124.65"/>
        <n v="5146.66"/>
        <n v="17500.06"/>
        <n v="23557.31"/>
        <n v="28705.57"/>
        <n v="40886.58"/>
        <n v="6666.84"/>
        <n v="1269.73"/>
        <n v="6721.26"/>
        <n v="30211.68"/>
        <n v="1555.23"/>
        <n v="311.17"/>
        <n v="309.27"/>
        <n v="305.77"/>
        <n v="286.14"/>
        <n v="283.54"/>
        <n v="279.64"/>
        <n v="273.14"/>
        <n v="260.14"/>
        <n v="253.64"/>
        <n v="14822.49"/>
        <n v="1221.89"/>
        <n v="19353.13"/>
        <n v="37494.35"/>
        <n v="16611.39"/>
        <n v="34732.65"/>
        <n v="22939.69"/>
        <n v="23522.1"/>
        <n v="3528.7"/>
        <n v="470.69"/>
        <n v="20473.09"/>
        <n v="14245.95"/>
        <n v="9084.98"/>
        <n v="399.08"/>
        <n v="9571.41"/>
        <n v="3229.14"/>
        <n v="8647.44"/>
        <n v="15028.71"/>
        <n v="15030.86"/>
        <n v="8648.55"/>
        <n v="47.1"/>
        <n v="3131.51"/>
        <n v="22.01"/>
        <n v="40022.01"/>
        <n v="24.81"/>
        <n v="40029"/>
        <n v="37309"/>
        <n v="29739"/>
        <n v="21574"/>
        <n v="29244"/>
        <n v="35697.23"/>
        <n v="20419.59"/>
        <n v="11384.59"/>
        <n v="15324.59"/>
        <n v="23144.59"/>
        <n v="19264.59"/>
        <n v="6197.46"/>
        <n v="10132.46"/>
        <n v="29302.76"/>
        <n v="9987.21"/>
        <n v="13927.21"/>
        <n v="9989.71"/>
        <n v="7109.71"/>
        <n v="3177.21"/>
        <n v="-742.79"/>
        <n v="10001.07"/>
        <n v="2.67"/>
        <n v="11546.89"/>
        <n v="21547.89"/>
        <n v="11551.49"/>
        <n v="1556.29"/>
        <n v="21558.38"/>
        <n v="1564.68"/>
        <n v="21567.48"/>
        <n v="16332.18"/>
        <n v="16340.48"/>
        <n v="19782.03"/>
        <n v="23203.6"/>
        <n v="19843.6"/>
        <n v="825.02"/>
        <n v="824.92"/>
        <n v="34.32"/>
        <n v="5318.72"/>
        <n v="191.82"/>
        <n v="6293.82"/>
        <n v="16567.78"/>
        <n v="11710.28"/>
        <n v="7125.28"/>
        <n v="11752.78"/>
        <n v="25671.27"/>
        <n v="21096.27"/>
        <n v="25673.77"/>
        <n v="25678.4"/>
        <n v="21073.4"/>
        <n v="678.37"/>
        <n v="5348.37"/>
        <n v="665.87"/>
        <n v="5450.87"/>
        <n v="10348.37"/>
        <n v="353.67"/>
        <n v="10354.71"/>
        <n v="431.48"/>
        <n v="40000"/>
        <n v="20070"/>
        <n v="126"/>
        <n v="40129.79"/>
        <n v="125.39"/>
        <n v="20121.59"/>
        <n v="11921.29"/>
        <n v="58.36"/>
        <n v="50059.86"/>
        <n v="125.71"/>
        <n v="7997.53"/>
        <n v="50726.15"/>
        <n v="59014.65"/>
        <n v="71007.65"/>
        <n v="71067.98"/>
        <n v="21068.96"/>
        <n v="117.69"/>
        <n v="33609.66"/>
        <n v="2073.9"/>
        <n v="20073.9"/>
        <n v="114.1"/>
        <n v="120.3"/>
        <n v="20127.93"/>
        <n v="127.93"/>
        <n v="33271.35"/>
        <n v="23135.68"/>
        <n v="3137.08"/>
        <n v="23154.91"/>
        <n v="3160.91"/>
        <n v="23163.07"/>
        <n v="19927.77"/>
        <n v="20027.77"/>
        <n v="34.77"/>
        <n v="20036.95"/>
        <n v="11936.95"/>
        <n v="3336.65"/>
        <n v="12327.34"/>
        <n v="15573.78"/>
        <n v="6608.48"/>
        <n v="16033.74"/>
        <n v="16043.26"/>
        <n v="5227.25"/>
        <n v="706.01"/>
        <n v="41706.01"/>
        <n v="132.03"/>
        <n v="360.03"/>
        <n v="362.98"/>
        <n v="30362.98"/>
        <n v="308.97"/>
        <n v="53308.97"/>
        <n v="33272.76"/>
        <n v="65023.31"/>
        <n v="33612.28"/>
        <n v="25809.28"/>
        <n v="18174.28"/>
        <n v="51241.13"/>
        <n v="19231.21"/>
        <n v="11756.21"/>
        <n v="4729.21"/>
        <n v="11964.21"/>
        <n v="19969.21"/>
        <n v="28124.21"/>
        <n v="56927.28"/>
        <n v="109351.02"/>
        <n v="137692.23"/>
        <n v="120705.77"/>
        <n v="138081.78"/>
        <n v="120875.25"/>
        <n v="104248.9"/>
        <n v="70796.13"/>
        <n v="87972.4"/>
        <n v="121885.51"/>
        <n v="105199.14"/>
        <n v="141378.54"/>
        <n v="141373.54"/>
        <n v="141368.54"/>
        <n v="141366.54"/>
        <n v="116878.95"/>
        <n v="91040.94"/>
        <n v="65503.03"/>
        <n v="30889.9"/>
        <n v="48585.49"/>
        <n v="58585.49"/>
        <n v="41699.06"/>
        <n v="17031.42"/>
        <n v="9255.82"/>
        <n v="60192.81"/>
        <n v="7952.42"/>
        <n v="58576.72"/>
        <n v="111240.39"/>
        <n v="85432.39"/>
        <n v="112244.08"/>
        <n v="85715.86"/>
        <n v="77830.86"/>
        <n v="50822.49"/>
        <n v="43203.49"/>
        <n v="6742.18"/>
        <n v="34213.66"/>
        <n v="42058.66"/>
        <n v="50023.66"/>
        <n v="57910.6"/>
        <n v="55945.6"/>
        <n v="50063.6"/>
        <n v="42134.6"/>
        <n v="110562.74"/>
        <n v="102833.74"/>
        <n v="95098.59"/>
        <n v="87303.59"/>
        <n v="102850.59"/>
        <n v="118329.77"/>
        <n v="102868.77"/>
        <n v="89863.51"/>
        <n v="105506.51"/>
        <n v="92651.25"/>
        <n v="108402.25"/>
        <n v="121284.1"/>
        <n v="95375.55"/>
        <n v="79642.55"/>
        <n v="106586.67"/>
        <n v="114557.67"/>
        <n v="122566.67"/>
        <n v="62546.87"/>
        <n v="76367.75"/>
        <n v="14152.22"/>
        <n v="138007.26"/>
        <n v="75436.62"/>
        <n v="436.62"/>
        <n v="21603.43"/>
        <n v="42805.2"/>
        <n v="63737.32"/>
        <n v="21073.25"/>
        <n v="63466.79"/>
        <n v="50371.79"/>
        <n v="42946.79"/>
        <n v="24621.11"/>
        <n v="6255.42"/>
        <n v="106255.42"/>
        <n v="548.26"/>
        <n v="40681.67"/>
        <n v="681.67"/>
        <n v="115529.19"/>
        <n v="81317.91"/>
        <n v="73202.91"/>
        <n v="4341.57"/>
        <n v="12428.47"/>
        <n v="25769.85"/>
        <n v="32677.79"/>
        <n v="39845.47"/>
        <n v="32740.33"/>
        <n v="32774.47"/>
        <n v="99053.92"/>
        <n v="9053.92"/>
        <n v="986.42"/>
        <n v="7661.42"/>
        <n v="9376.92"/>
        <n v="24356.92"/>
        <n v="12311.92"/>
        <n v="24814.4"/>
        <n v="19814.88"/>
        <n v="19829.33"/>
        <n v="9831.23"/>
        <n v="19831.93"/>
        <n v="15296.93"/>
        <n v="15398.93"/>
        <n v="9547.93"/>
        <n v="707.75"/>
        <n v="6828.75"/>
        <n v="957.75"/>
        <n v="12326.1"/>
        <n v="18405.1"/>
        <n v="12268.1"/>
        <n v="1297.88"/>
        <n v="12171.77"/>
        <n v="1471.56"/>
        <n v="7618.56"/>
        <n v="18312.64"/>
        <n v="25550.24"/>
        <n v="18745.1"/>
        <n v="25503.19"/>
        <n v="18708.05"/>
        <n v="25516.09"/>
        <n v="8385.44"/>
        <n v="8395.83"/>
        <n v="26496.72"/>
        <n v="6498.92"/>
        <n v="265.92"/>
        <n v="6574.92"/>
        <n v="12097.68"/>
        <n v="608.45"/>
        <n v="20610.85"/>
        <n v="7845.59"/>
        <n v="7855.84"/>
        <n v="163.34"/>
        <n v="7995.84"/>
        <n v="15153.53"/>
        <n v="28514.88"/>
        <n v="15289.62"/>
        <n v="9008.62"/>
        <n v="15253.62"/>
        <n v="15261.59"/>
        <n v="115261.59"/>
        <n v="100766.59"/>
        <n v="782.59"/>
        <n v="100788.72"/>
        <n v="90133.72"/>
        <n v="76888.46"/>
        <n v="70683.46"/>
        <n v="57538.2"/>
        <n v="47003.2"/>
        <n v="32994.2"/>
        <n v="333.42"/>
        <n v="40333.42"/>
        <n v="342.22"/>
        <n v="40344.68"/>
        <n v="54887.12"/>
        <n v="14900.72"/>
        <n v="8877.72"/>
        <n v="24157.42"/>
        <n v="13472.42"/>
        <n v="4747.24"/>
        <n v="44749.76"/>
        <n v="51086.76"/>
        <n v="42291.58"/>
        <n v="45090.88"/>
        <n v="63909.82"/>
        <n v="74843.87"/>
        <n v="34849.07"/>
        <n v="38765.06"/>
        <n v="78767.63"/>
        <n v="84716.67"/>
        <n v="73821.67"/>
        <n v="57556.31"/>
        <n v="75432.49"/>
        <n v="47663.32"/>
        <n v="63661.98"/>
        <n v="91584.79"/>
        <n v="73918.97"/>
        <n v="45809.7"/>
        <n v="34944.7"/>
        <n v="52741"/>
        <n v="35095.18"/>
        <n v="46778.48"/>
        <n v="74921"/>
        <n v="60736"/>
        <n v="47490.74"/>
        <n v="65326.98"/>
        <n v="50951.98"/>
        <n v="33326.17"/>
        <n v="51641.77"/>
        <n v="37566.77"/>
        <n v="72710.67"/>
        <n v="59385.4"/>
        <n v="45450.4"/>
        <n v="31695.4"/>
        <n v="18520.4"/>
        <n v="46802.73"/>
        <n v="34097.73"/>
        <n v="71428.76"/>
        <n v="64897.76"/>
        <n v="52202.51"/>
        <n v="52174.52"/>
        <n v="52118.53"/>
        <n v="52090.54"/>
        <n v="58571.54"/>
        <n v="71153.69"/>
        <n v="64706.69"/>
        <n v="53571.69"/>
        <n v="49746.61"/>
        <n v="56215.61"/>
        <n v="67928.88"/>
        <n v="71824.89"/>
        <n v="32412.68"/>
        <n v="72859.61"/>
        <n v="32864.41"/>
        <n v="22865.61"/>
        <n v="8060.31"/>
        <n v="23000.05"/>
        <n v="22944.06"/>
        <n v="15873.92"/>
        <n v="1308.63"/>
        <n v="72713.52"/>
        <n v="72601.55"/>
        <n v="1000"/>
        <n v="1450"/>
        <n v="51448.5"/>
        <n v="30321.53"/>
        <n v="17976.28"/>
        <n v="18020.47"/>
        <n v="4195.19"/>
        <n v="16687.42"/>
        <n v="2327.42"/>
        <n v="8640.94"/>
        <n v="22751.81"/>
        <n v="9206.54"/>
        <n v="385.36"/>
        <n v="14126.32"/>
        <n v="23073.18"/>
        <n v="23053.18"/>
        <n v="23044.18"/>
        <n v="9318.9"/>
        <n v="331"/>
        <n v="361.51"/>
        <n v="9369.11"/>
        <n v="333.93"/>
        <n v="30333.93"/>
        <n v="4005.24"/>
        <n v="30849.49"/>
        <n v="4160.69"/>
        <n v="11031.69"/>
        <n v="20347.17"/>
        <n v="352.37"/>
        <n v="341.37"/>
        <n v="336.37"/>
        <n v="20338.9"/>
        <n v="105765.13"/>
        <n v="92739.87"/>
        <n v="76359.46"/>
        <n v="89501.04"/>
        <n v="73120.63"/>
        <n v="64618.13"/>
        <n v="48437.8"/>
        <n v="87437.8"/>
        <n v="39289.08"/>
        <n v="433.04"/>
        <n v="9053.04"/>
        <n v="25431.23"/>
        <n v="37311.43"/>
        <n v="118526.25"/>
        <n v="8548.25"/>
        <n v="17548.25"/>
        <n v="-33404.51"/>
        <n v="1"/>
        <n v="12616"/>
        <n v="110016.32"/>
        <n v="40016.32"/>
        <n v="-3014"/>
        <n v="9471"/>
        <n v="38313.04"/>
        <n v="12905.17"/>
        <n v="444.17"/>
        <n v="51017.83"/>
        <n v="17209.59"/>
        <n v="33477.92"/>
        <n v="-24744.28"/>
        <n v="12586"/>
        <n v="12323.86"/>
        <n v="25368.86"/>
        <n v="-37834.74"/>
        <n v="-47459.74"/>
        <n v="12056"/>
        <n v="14766"/>
        <n v="26411"/>
        <n v="13126"/>
        <n v="4711.4"/>
        <n v="-12194.18"/>
        <n v="13038"/>
        <n v="-5275.88"/>
        <n v="12076"/>
        <n v="80001"/>
        <n v="109940.3"/>
        <n v="79958.6"/>
        <n v="110003.54"/>
        <n v="80000.2"/>
        <n v="9306"/>
        <n v="17156.66"/>
        <n v="80021.93"/>
        <n v="24938.73"/>
        <n v="59933.8"/>
        <n v="60016.14"/>
        <n v="60035.44"/>
        <n v="19.3"/>
        <n v="82.52"/>
        <n v="16506.45"/>
        <n v="9998.4"/>
        <n v="31001"/>
        <n v="59997.7"/>
        <n v="50002"/>
        <n v="20001.4"/>
        <n v="10001.2"/>
        <n v="10001.88"/>
        <n v="1.88"/>
        <n v="10002.76"/>
        <n v="-50037.5"/>
        <n v="-20015.69"/>
        <n v="-10008.22"/>
        <n v="10726"/>
        <n v="-11114"/>
        <n v="-16901.48"/>
        <n v="17586.8"/>
        <n v="-15029.9"/>
        <n v="10826.18"/>
        <n v="24733.66"/>
        <n v="6"/>
        <n v="60902.7"/>
        <n v="79717.64"/>
        <n v="96794.9"/>
        <n v="86649.9"/>
        <n v="649.04"/>
        <n v="-86030.06"/>
        <n v="5"/>
        <n v="86684.04"/>
        <n v="97689.04"/>
        <n v="688.07"/>
        <n v="-97038.05"/>
        <n v="24943.73"/>
        <n v="-10919.18"/>
        <n v="116.02"/>
        <n v="-21570.7"/>
        <n v="-24686.62"/>
        <n v="24728.66"/>
        <n v="-21311.04"/>
        <n v="100002"/>
        <n v="4.56"/>
        <n v="329.67"/>
        <n v="25148.79"/>
        <n v="7006"/>
        <n v="19121"/>
        <n v="11416"/>
        <n v="19041"/>
        <n v="11426"/>
        <n v="11406"/>
        <n v="-13974"/>
        <n v="-22392.06"/>
        <n v="-19999"/>
        <n v="58894.27"/>
        <n v="706.24"/>
        <n v="21040.25"/>
        <n v="134.57"/>
        <n v="-20287.11"/>
        <n v="20422.68"/>
        <n v="598.54"/>
        <n v="20822.01"/>
        <n v="673.77"/>
        <n v="20600.63"/>
        <n v="126.28"/>
        <n v="526.28"/>
        <n v="20844.45"/>
        <n v="15706"/>
        <n v="-11384.2"/>
        <n v="-16433.9"/>
        <n v="3.18"/>
        <n v="-5012.12"/>
        <n v="112.77"/>
        <n v="15886"/>
        <n v="-16373.92"/>
        <n v="22141.64"/>
        <n v="654.98"/>
        <n v="1217.48"/>
        <n v="-7405.39"/>
        <n v="-2965.39"/>
        <n v="18846"/>
        <n v="4441"/>
        <n v="10226"/>
        <n v="15036"/>
        <n v="71"/>
        <n v="-24609"/>
        <n v="-14894"/>
        <n v="15666"/>
        <n v="11853.87"/>
        <n v="10.47"/>
        <n v="-11871.6"/>
        <n v="-16074"/>
        <n v="15566"/>
        <n v="15636"/>
        <n v="-8731.55"/>
        <n v="15746.34"/>
        <n v="221.34"/>
        <n v="-26702.4"/>
        <n v="-11367.4"/>
        <n v="7207.86"/>
        <n v="-11748.39"/>
        <n v="7475.99"/>
        <n v="0.99"/>
        <n v="9996"/>
        <n v="17501"/>
        <n v="11706"/>
        <n v="-12311.42"/>
        <n v="8197.94"/>
        <n v="-3547.06"/>
        <n v="-9262.06"/>
        <n v="-17667.06"/>
        <n v="-11922.06"/>
        <n v="11108.51"/>
        <n v="-1146.49"/>
        <n v="-7011.49"/>
        <n v="-1126.49"/>
        <n v="-12491.49"/>
        <n v="-10547.79"/>
        <n v="-32724.66"/>
        <n v="-24249.66"/>
        <n v="-30124.66"/>
        <n v="-18181.62"/>
        <n v="-5824"/>
        <n v="-13250.68"/>
        <n v="-18945.68"/>
        <n v="-27350.68"/>
        <n v="-21585.68"/>
        <n v="6051"/>
        <n v="11916"/>
        <n v="20201"/>
        <n v="11846"/>
        <n v="12206"/>
        <n v="-12564"/>
        <n v="-29"/>
        <n v="-12514"/>
        <n v="8816"/>
        <n v="-3669"/>
        <n v="61.75"/>
        <n v="-17363.65"/>
        <n v="-4668.65"/>
        <n v="12626"/>
        <n v="29781.33"/>
        <n v="12576"/>
        <n v="11"/>
        <n v="12446"/>
        <n v="-41395.61"/>
        <n v="-16683.27"/>
        <n v="17026.28"/>
        <n v="11376.23"/>
        <n v="31805.54"/>
        <n v="18680.54"/>
        <n v="324.85"/>
        <n v="299.85"/>
        <n v="298.1"/>
        <n v="284.85"/>
        <n v="-11821.85"/>
        <n v="1353.15"/>
        <n v="13245.99"/>
        <n v="-13634"/>
        <n v="17735.5"/>
        <n v="150.05"/>
        <n v="148.8"/>
        <n v="135.05"/>
        <n v="13466"/>
        <n v="-13614"/>
        <n v="-19373.59"/>
        <n v="17686.48"/>
        <n v="70.03"/>
        <n v="20.03"/>
        <n v="22.83"/>
        <n v="-22180.16"/>
        <n v="13408.8"/>
        <n v="3.8"/>
        <n v="105.23"/>
        <n v="-13452.57"/>
        <n v="102.43"/>
        <n v="18756.81"/>
        <n v="13166"/>
        <n v="-12634"/>
        <n v="43292.26"/>
        <n v="291.83"/>
        <n v="-43113.1"/>
        <n v="43404.93"/>
        <n v="404.5"/>
        <n v="-43010.6"/>
        <n v="18866.85"/>
        <n v="-5048.19"/>
        <n v="13686"/>
        <n v="-12428.8"/>
        <n v="17706.49"/>
        <n v="12013.53"/>
        <n v="13206"/>
        <n v="-12269.5"/>
        <n v="46.5"/>
        <n v="-31747.01"/>
        <n v="-12272.56"/>
        <n v="-31388.48"/>
        <n v="-17813.48"/>
        <n v="22.37"/>
        <n v="13557.37"/>
        <n v="32892.01"/>
        <n v="19407.01"/>
        <n v="16267.23"/>
        <n v="-1198.18"/>
        <n v="12136.82"/>
        <n v="31291.69"/>
        <n v="12946"/>
        <n v="3851.14"/>
        <n v="16586.14"/>
        <n v="-3888.8"/>
        <n v="12866"/>
        <n v="-7992.97"/>
        <n v="4602.63"/>
        <n v="21057.53"/>
        <n v="-20871.62"/>
        <n v="-18654.53"/>
        <n v="31631.67"/>
        <n v="18306.67"/>
        <n v="-18724.44"/>
        <n v="12746"/>
        <n v="18036.59"/>
        <n v="22177.87"/>
        <n v="-22529.45"/>
        <n v="10306"/>
        <n v="-7103.09"/>
        <n v="-6094"/>
        <n v="-309"/>
        <n v="-12074"/>
        <n v="-11914"/>
        <n v="15076"/>
        <n v="3171"/>
        <n v="1001"/>
        <n v="-12094"/>
        <n v="-15514"/>
        <n v="32001"/>
        <n v="32004.53"/>
        <n v="-18061.77"/>
        <n v="4.53"/>
        <n v="4004.53"/>
        <n v="4167.77"/>
        <n v="-11891.32"/>
        <n v="-15891.32"/>
        <n v="-11550.76"/>
        <n v="164.24"/>
        <n v="104.24"/>
        <n v="17096.3"/>
        <n v="75138.09"/>
        <n v="44368.55"/>
        <n v="368.11"/>
        <n v="-44064.53"/>
        <n v="-31269.3"/>
        <n v="17156.32"/>
        <n v="-5706.76"/>
        <n v="11251"/>
        <n v="31890.88"/>
        <n v="-14254.1"/>
        <n v="16896.24"/>
        <n v="-5061.72"/>
        <n v="11926"/>
        <n v="-1117.38"/>
        <n v="15346"/>
        <n v="15331.56"/>
        <n v="-33.44"/>
        <n v="15505.99"/>
        <n v="-15573.23"/>
        <n v="15506"/>
        <n v="39526"/>
        <n v="23791"/>
        <n v="4001"/>
        <n v="-21853.03"/>
        <n v="-11898.03"/>
        <n v="16.97"/>
        <n v="-15878.03"/>
        <n v="-30443.03"/>
        <n v="-14494"/>
        <n v="39534.39"/>
        <n v="24909.39"/>
        <n v="8766.39"/>
        <n v="709.39"/>
        <n v="7209.39"/>
        <n v="17209.39"/>
        <n v="959.39"/>
        <n v="17367.87"/>
        <n v="30442.87"/>
        <n v="16681.87"/>
        <n v="336.8"/>
        <n v="30287.51"/>
        <n v="78943.69"/>
        <n v="62838.69"/>
        <n v="48153.69"/>
        <n v="67.83"/>
        <n v="10986.78"/>
        <n v="-19597.76"/>
        <n v="-3409"/>
        <n v="11306"/>
        <n v="-62203.27"/>
        <n v="-22080.9"/>
        <n v="24087.62"/>
        <n v="-8162.37"/>
        <n v="2796.65"/>
        <n v="-21450.86"/>
        <n v="-23291.76"/>
        <n v="61"/>
        <n v="-30798.6"/>
        <n v="1.01"/>
        <n v="10986"/>
        <n v="10066"/>
        <n v="24881.47"/>
        <n v="15156.47"/>
        <n v="32791"/>
        <n v="19306"/>
        <n v="9296"/>
        <n v="35649.46"/>
        <n v="23304.46"/>
        <n v="14279.46"/>
        <n v="4194.46"/>
        <n v="17636"/>
        <n v="26791"/>
        <n v="13366"/>
        <n v="-7940.79"/>
        <n v="-21085.79"/>
        <n v="-8850.79"/>
        <n v="4071.27"/>
        <n v="13286.27"/>
        <n v="8646"/>
        <n v="40001"/>
        <n v="4179.04"/>
        <n v="13394.04"/>
        <n v="49466"/>
        <n v="9466"/>
        <n v="24981"/>
        <n v="11726"/>
        <n v="1602.88"/>
        <n v="-22300.62"/>
        <n v="-27385.62"/>
        <n v="-13694.33"/>
        <n v="-53.26"/>
        <n v="-13698.26"/>
        <n v="13546.01"/>
        <n v="6301"/>
        <n v="11746"/>
        <n v="20180.83"/>
        <n v="30755.83"/>
        <n v="19620.63"/>
        <n v="8855.63"/>
        <n v="20479.01"/>
        <n v="11353.41"/>
        <n v="-171.59"/>
        <n v="28790.42"/>
        <n v="13965.42"/>
        <n v="2140.42"/>
        <n v="-29332.79"/>
        <n v="-14403.79"/>
        <n v="-4008.79"/>
        <n v="-14553.79"/>
        <n v="-25638.79"/>
        <n v="-36783.79"/>
        <n v="-30668.79"/>
        <n v="-15479"/>
        <n v="-3384"/>
        <n v="7551"/>
        <n v="11556"/>
        <n v="771"/>
        <n v="-10994"/>
        <n v="-39800.02"/>
        <n v="-28565.02"/>
        <n v="-16570.02"/>
        <n v="-6145.45"/>
        <n v="5278.11"/>
        <n v="27511.22"/>
        <n v="3223.69"/>
        <n v="10886.01"/>
        <n v="30"/>
        <n v="-9864"/>
        <n v="2631"/>
        <n v="-8874"/>
        <n v="3601"/>
        <n v="-11534"/>
        <n v="-18963.38"/>
        <n v="-3369"/>
        <n v="7766"/>
        <n v="6.74"/>
        <n v="407.71"/>
        <n v="2114.06"/>
        <n v="-8045.94"/>
        <n v="100001"/>
        <n v="7106"/>
        <n v="-7694"/>
        <n v="7266"/>
        <n v="-7794"/>
        <n v="9756"/>
        <n v="160001"/>
        <n v="190479.19"/>
        <n v="598.89"/>
        <n v="190618.53"/>
        <n v="30618.53"/>
        <n v="9456"/>
        <n v="17551"/>
        <n v="9746"/>
        <n v="3613.53"/>
        <n v="13968.53"/>
        <n v="117.53"/>
        <n v="-8060.92"/>
        <n v="5156"/>
        <n v="3024.45"/>
        <n v="37.45"/>
        <n v="42.77"/>
        <n v="221.41"/>
        <n v="5252.1"/>
        <n v="111.1"/>
        <n v="401.1"/>
        <n v="6462.03"/>
        <n v="24.23"/>
        <n v="6404.23"/>
        <n v="279.23"/>
        <n v="-6007.98"/>
        <n v="6001"/>
        <n v="1.28"/>
        <n v="6.27"/>
        <n v="9.27"/>
        <n v="8.67"/>
        <n v="8.68"/>
        <n v="10.04"/>
        <n v="2010.04"/>
        <n v="30.04"/>
        <n v="30.05"/>
        <n v="31.32"/>
        <n v="-4744.24"/>
        <n v="3000"/>
        <n v="5063"/>
        <n v="0.03"/>
        <n v="11.72"/>
        <n v="111.72"/>
        <n v="111.81"/>
        <n v="116.81"/>
        <n v="115.81"/>
        <n v="250447.86"/>
        <n v="28359.79"/>
        <n v="222001"/>
        <n v="3.79"/>
        <n v="38.16"/>
        <n v="312.68"/>
        <n v="31446.96"/>
        <n v="22180.5"/>
        <n v="20312.68"/>
        <n v="24312.68"/>
        <n v="42180.5"/>
        <n v="20641.86"/>
        <n v="20641.85"/>
        <n v="746.8"/>
        <n v="746.79"/>
        <n v="746.77"/>
        <n v="19267.17"/>
        <n v="20746.77"/>
        <n v="19267.16"/>
        <n v="19267.13"/>
        <n v="545.5"/>
        <n v="545.49"/>
        <n v="545.47"/>
        <n v="24296.09"/>
        <n v="20545.47"/>
        <n v="20595.47"/>
        <n v="24296.07"/>
        <n v="24298.54"/>
        <n v="24298.52"/>
        <n v="24300.56"/>
        <n v="633.83"/>
        <n v="633.77"/>
        <n v="633.75"/>
        <n v="633.73"/>
        <n v="633.7"/>
        <n v="633.67"/>
        <n v="633.59"/>
        <n v="633.56"/>
        <n v="633.53"/>
        <n v="633.5"/>
        <n v="633.47"/>
        <n v="633.36"/>
        <n v="633.33"/>
        <n v="633.3"/>
        <n v="633.16"/>
        <n v="633.13"/>
        <n v="633.1"/>
        <n v="633.07"/>
        <n v="632.99"/>
        <n v="632.96"/>
        <n v="632.93"/>
        <n v="632.9"/>
        <n v="632.87"/>
        <n v="632.79"/>
        <n v="632.76"/>
        <n v="632.73"/>
        <n v="632.53"/>
        <n v="632.5"/>
        <n v="632.47"/>
        <n v="632.39"/>
        <n v="632.36"/>
        <n v="632.33"/>
        <n v="24.33"/>
        <n v="1632.33"/>
        <n v="24.3"/>
        <n v="24.27"/>
        <n v="24.19"/>
        <n v="24.16"/>
        <n v="-946.45"/>
        <n v="-2638.95"/>
        <n v="4.97"/>
        <n v="4.94"/>
        <n v="4.98"/>
        <n v="34.91"/>
        <n v="2667.91"/>
        <n v="34.88"/>
        <n v="41.68"/>
        <n v="3034.88"/>
        <n v="41.65"/>
        <n v="-6022.5"/>
        <n v="4.92"/>
        <n v="27.59"/>
        <n v="6068.89"/>
        <n v="27.56"/>
        <n v="27.53"/>
        <n v="27.5"/>
        <n v="19027.5"/>
        <n v="20027.5"/>
        <n v="20027.47"/>
        <n v="18681.14"/>
        <n v="18681.09"/>
        <n v="-7810.2"/>
        <n v="1804.97"/>
        <n v="7.09"/>
        <n v="5468.09"/>
        <n v="7.06"/>
        <n v="-5554"/>
        <n v="-12275"/>
        <n v="9.13"/>
        <n v="3961.13"/>
        <n v="3961.1"/>
        <n v="18288.8"/>
        <n v="18288.66"/>
        <n v="18288.63"/>
        <n v="19031.4"/>
        <n v="19031.37"/>
        <n v="19031.34"/>
        <n v="562"/>
        <n v="561.97"/>
        <n v="561.89"/>
        <n v="561.86"/>
        <n v="561.83"/>
        <n v="561.8"/>
        <n v="561.77"/>
        <n v="561.69"/>
        <n v="561.66"/>
        <n v="561.63"/>
        <n v="561.6"/>
        <n v="-3687.22"/>
        <n v="1085.89"/>
        <n v="1085.86"/>
        <n v="5158.39"/>
        <n v="23941.36"/>
        <n v="5221.61"/>
        <n v="5221.58"/>
        <n v="4.96"/>
        <n v="12679.26"/>
        <n v="12679.23"/>
        <n v="12658"/>
        <n v="430"/>
        <n v="429.97"/>
        <n v="429.94"/>
        <n v="429.86"/>
        <n v="429.83"/>
        <n v="20429.83"/>
        <n v="18977.49"/>
        <n v="18977.46"/>
        <n v="18977.43"/>
        <n v="556.06"/>
        <n v="556.03"/>
        <n v="555.92"/>
        <n v="555.88"/>
        <n v="555.84"/>
        <n v="555.8"/>
        <n v="555.76"/>
        <n v="555.65"/>
        <n v="555.61"/>
        <n v="555.58"/>
        <n v="555.55"/>
        <n v="558.38"/>
        <n v="558.35"/>
        <n v="558.25"/>
        <n v="587.71"/>
        <n v="587.68"/>
        <n v="30587.68"/>
        <n v="28742.64"/>
        <n v="28742.6"/>
        <n v="28742.56"/>
        <n v="840.74"/>
        <n v="840.71"/>
        <n v="840.6"/>
        <n v="840.56"/>
        <n v="840.52"/>
        <n v="840.21"/>
        <n v="840.11"/>
        <n v="840.08"/>
        <n v="27246.47"/>
        <n v="28840.08"/>
        <n v="27246.5"/>
        <n v="27246.44"/>
        <n v="793.63"/>
        <n v="793.6"/>
        <n v="4.87"/>
        <n v="3795.77"/>
        <n v="4500"/>
        <n v="4.83"/>
        <n v="3029"/>
        <n v="3028.87"/>
        <n v="0.87"/>
        <n v="25819.52"/>
        <n v="4.95"/>
        <n v="-3162.76"/>
        <n v="371.57"/>
        <n v="-7876.04"/>
        <n v="371.7"/>
        <n v="371.53"/>
        <n v="371.49"/>
        <n v="371.44"/>
        <n v="7940.95"/>
        <n v="7941"/>
        <n v="4.85"/>
        <n v="8313.96"/>
        <n v="8314"/>
        <n v="8255.03"/>
        <n v="13270"/>
        <n v="6.76"/>
        <n v="6.8"/>
        <n v="6.63"/>
        <n v="25.49"/>
        <n v="25.53"/>
        <n v="25.45"/>
        <n v="25.41"/>
        <n v="25.24"/>
        <n v="25.2"/>
        <n v="25.16"/>
        <n v="25.12"/>
        <n v="24.95"/>
        <n v="24.91"/>
        <n v="24.87"/>
        <n v="24.83"/>
        <n v="24.78"/>
        <n v="24.63"/>
        <n v="24.58"/>
        <n v="24.53"/>
        <n v="24.48"/>
        <n v="24.43"/>
        <n v="24.28"/>
        <n v="24.18"/>
        <n v="24.13"/>
        <n v="24.08"/>
        <n v="23.93"/>
        <n v="23.88"/>
        <n v="23.83"/>
        <n v="23.78"/>
        <n v="23.73"/>
        <n v="23.58"/>
        <n v="23.53"/>
        <n v="23.48"/>
        <n v="23.43"/>
        <n v="23.38"/>
        <n v="23.23"/>
        <n v="23.18"/>
        <n v="23.13"/>
        <n v="25023.13"/>
        <n v="19217.02"/>
        <n v="19216.62"/>
        <n v="19216.57"/>
        <n v="559.4"/>
        <n v="559.25"/>
        <n v="559.19"/>
        <n v="559.13"/>
        <n v="559.07"/>
        <n v="559.01"/>
        <n v="558.83"/>
        <n v="558.77"/>
        <n v="558.71"/>
        <n v="558.65"/>
        <n v="558.59"/>
        <n v="558.41"/>
        <n v="558.29"/>
        <n v="558.23"/>
        <n v="558.17"/>
        <n v="557.99"/>
        <n v="557.93"/>
        <n v="557.87"/>
        <n v="557.81"/>
        <n v="565.88"/>
        <n v="565.73"/>
        <n v="565.67"/>
        <n v="565.62"/>
        <n v="565.57"/>
        <n v="565.52"/>
        <n v="565.37"/>
        <n v="565.31"/>
        <n v="565.25"/>
        <n v="565.19"/>
        <n v="564.83"/>
        <n v="564.77"/>
        <n v="564.71"/>
        <n v="564.53"/>
        <n v="564.47"/>
        <n v="564.41"/>
        <n v="564.35"/>
        <n v="-13995.33"/>
        <n v="4.82"/>
        <n v="-14645.33"/>
        <n v="-16135.94"/>
        <n v="4.7"/>
        <n v="4.9"/>
        <n v="16474.33"/>
        <n v="-17108.52"/>
        <n v="13730"/>
        <n v="4.8"/>
        <n v="5.68"/>
        <n v="5.73"/>
        <n v="-14175.8"/>
        <n v="141.58"/>
        <n v="141.53"/>
        <n v="12770"/>
        <n v="-14095.88"/>
        <n v="5621"/>
        <n v="5620.95"/>
        <n v="59161.53"/>
        <n v="-10344"/>
        <n v="-37"/>
        <n v="10322"/>
        <n v="10321.95"/>
        <n v="20587"/>
        <n v="10270"/>
        <n v="-59317.13"/>
        <n v="13180"/>
        <n v="70.95"/>
        <n v="70.9"/>
        <n v="70.85"/>
        <n v="70.7"/>
        <n v="12070.24"/>
        <n v="12070.2"/>
        <n v="30175.24"/>
        <n v="30175.2"/>
        <n v="24015.48"/>
        <n v="11950.24"/>
        <n v="11950.11"/>
        <n v="24112.69"/>
        <n v="12047.45"/>
        <n v="12047.41"/>
        <n v="23775.48"/>
        <n v="11830.24"/>
        <n v="11830.2"/>
        <n v="23830.2"/>
        <n v="31735.64"/>
        <n v="4.88"/>
        <n v="12047.66"/>
        <n v="102.42"/>
        <n v="102.38"/>
        <n v="-12007.97"/>
        <n v="11783.44"/>
        <n v="11783.32"/>
        <n v="11770.12"/>
        <n v="-92.46"/>
        <n v="12612.64"/>
        <n v="12612.6"/>
        <n v="-92.34"/>
        <n v="11950.2"/>
        <n v="12070.12"/>
        <n v="24352.57"/>
        <n v="12167.33"/>
        <n v="12167.29"/>
        <n v="12167.25"/>
        <n v="35660.71"/>
        <n v="23625.47"/>
        <n v="11740.23"/>
        <n v="11740.19"/>
        <n v="11740.1"/>
        <n v="-152.46"/>
        <n v="11890.24"/>
        <n v="11890.2"/>
        <n v="-122.34"/>
        <n v="-37.34"/>
        <n v="12125.24"/>
        <n v="12125.2"/>
        <n v="-122.18"/>
        <n v="12190.24"/>
        <n v="12190.2"/>
        <n v="17037.47"/>
        <n v="25343.98"/>
        <n v="25343.86"/>
        <n v="25343.82"/>
        <n v="39489.3"/>
        <n v="24964.3"/>
        <n v="-853.85"/>
        <n v="12190.19"/>
        <n v="12190.09"/>
        <n v="-3269.28"/>
        <n v="25055"/>
        <n v="8270"/>
        <n v="8269.85"/>
        <n v="-115"/>
        <n v="8400"/>
        <n v="8399.95"/>
        <n v="16665"/>
        <n v="8269.95"/>
        <n v="16415"/>
        <n v="8150"/>
        <n v="8149.95"/>
        <n v="8155.53"/>
        <n v="-109.42"/>
        <n v="8265.58"/>
        <n v="8265.53"/>
        <n v="8412.39"/>
        <n v="31.86"/>
        <n v="8536.86"/>
        <n v="8536.56"/>
        <n v="8536.51"/>
        <n v="8536.36"/>
        <n v="8536.31"/>
        <n v="8536.26"/>
        <n v="8536.21"/>
        <n v="15448.21"/>
        <n v="15447.81"/>
        <n v="3447.81"/>
        <n v="8390"/>
        <n v="8389.85"/>
        <n v="24780"/>
        <n v="16395"/>
        <n v="8140"/>
        <n v="8139.95"/>
        <n v="8250"/>
        <n v="8249.95"/>
        <n v="-125"/>
        <n v="8370"/>
        <n v="8369.9"/>
        <n v="8369.85"/>
        <n v="8369.95"/>
        <n v="8560"/>
        <n v="8559.95"/>
        <n v="38176.97"/>
        <n v="29621.97"/>
        <n v="29621.92"/>
        <n v="20708.28"/>
        <n v="20708.24"/>
        <n v="12163.28"/>
        <n v="20848.28"/>
        <n v="8559.96"/>
        <n v="8559.85"/>
        <n v="17215"/>
        <n v="17214.95"/>
        <n v="8620"/>
        <n v="8749.95"/>
        <n v="8749.9"/>
        <n v="8749.85"/>
        <n v="33749.85"/>
        <n v="21444.6"/>
        <n v="21444.45"/>
        <n v="32720.48"/>
        <n v="20565.24"/>
        <n v="20565.19"/>
        <n v="29210.24"/>
        <n v="-252.21"/>
        <n v="8572.79"/>
        <n v="20855.24"/>
        <n v="20855.19"/>
        <n v="45060.24"/>
        <n v="20855.09"/>
        <n v="33287.38"/>
        <n v="20982.13"/>
        <n v="20982.08"/>
        <n v="20982.03"/>
        <n v="20981.98"/>
        <n v="15981.98"/>
        <n v="8572.95"/>
        <n v="21005.25"/>
        <n v="21005.2"/>
        <n v="21005.1"/>
        <n v="20805.1"/>
        <n v="-2716"/>
        <n v="21005.24"/>
        <n v="21005.19"/>
        <n v="20505.2"/>
        <n v="33130.49"/>
        <n v="20855.25"/>
        <n v="20855.2"/>
        <n v="32680.48"/>
        <n v="20615.24"/>
        <n v="20615.09"/>
        <n v="32807.64"/>
        <n v="20682.4"/>
        <n v="20682.36"/>
        <n v="-3679.56"/>
        <n v="8572.92"/>
        <n v="20975.25"/>
        <n v="20975.21"/>
        <n v="29530.25"/>
        <n v="20835.25"/>
        <n v="20835.1"/>
        <n v="29250.25"/>
        <n v="20695.25"/>
        <n v="20695.2"/>
        <n v="20195.2"/>
        <n v="19695.2"/>
        <n v="12150.25"/>
        <n v="20835.2"/>
        <n v="15636.25"/>
        <n v="24451.25"/>
        <n v="24451.2"/>
        <n v="4451.2"/>
        <n v="34451.2"/>
        <n v="30005"/>
        <n v="16.71"/>
        <n v="23630.76"/>
        <n v="11725.76"/>
        <n v="11725.61"/>
        <n v="11725.57"/>
        <n v="14618"/>
        <n v="14783"/>
        <n v="11879"/>
        <n v="11878.96"/>
        <n v="11878.92"/>
        <n v="14782.92"/>
        <n v="3073.92"/>
        <n v="3073.87"/>
        <n v="4.75"/>
        <n v="1790"/>
        <n v="-3086.9"/>
        <n v="4.51"/>
        <n v="5.69"/>
        <n v="5.53"/>
        <n v="19.82"/>
        <n v="19.87"/>
        <n v="19.77"/>
        <n v="19.72"/>
        <n v="19.67"/>
        <n v="19.52"/>
        <n v="19.47"/>
        <n v="19.42"/>
        <n v="19.37"/>
        <n v="19.32"/>
        <n v="19.08"/>
        <n v="19.03"/>
        <n v="18.98"/>
        <n v="18.83"/>
        <n v="18.78"/>
        <n v="18.73"/>
        <n v="18.68"/>
        <n v="18.43"/>
        <n v="18.38"/>
        <n v="18.33"/>
        <n v="18.28"/>
        <n v="18.13"/>
        <n v="18.08"/>
        <n v="18.03"/>
        <n v="17.98"/>
        <n v="17.93"/>
        <n v="17.62"/>
        <n v="17.57"/>
        <n v="17.36"/>
        <n v="17.31"/>
        <n v="17.26"/>
        <n v="17.21"/>
        <n v="17.05"/>
        <n v="17"/>
        <n v="16.95"/>
        <n v="16.9"/>
        <n v="16.85"/>
        <n v="16.7"/>
        <n v="16.65"/>
        <n v="16.6"/>
        <n v="16.55"/>
        <n v="16.5"/>
        <n v="16.35"/>
        <n v="16.3"/>
        <n v="16.25"/>
        <n v="16.2"/>
        <n v="16"/>
        <n v="15.95"/>
        <n v="15.9"/>
        <n v="15.85"/>
        <n v="15.8"/>
        <n v="15.65"/>
        <n v="15.6"/>
        <n v="15.55"/>
        <n v="15.5"/>
        <n v="26015.5"/>
        <n v="30035"/>
        <n v="5.01"/>
        <n v="-31112.19"/>
        <n v="21.5"/>
        <n v="21.54"/>
        <n v="30021.5"/>
        <n v="21.46"/>
        <n v="13396.96"/>
        <n v="13397"/>
        <n v="47334.46"/>
        <n v="1879.53"/>
        <m/>
      </sharedItems>
    </cacheField>
    <cacheField name="当前持仓" numFmtId="0">
      <sharedItems containsString="0" containsBlank="1" containsNumber="1" containsInteger="1" minValue="0" maxValue="197457" count="159">
        <n v="0"/>
        <n v="300"/>
        <n v="400"/>
        <n v="500"/>
        <n v="600"/>
        <n v="700"/>
        <n v="1300"/>
        <n v="800"/>
        <n v="1800"/>
        <n v="2100"/>
        <n v="2200"/>
        <n v="1000"/>
        <n v="2700"/>
        <n v="3700"/>
        <n v="3200"/>
        <n v="2900"/>
        <n v="2800"/>
        <n v="3300"/>
        <n v="1500"/>
        <n v="2000"/>
        <n v="3000"/>
        <n v="2500"/>
        <n v="3100"/>
        <n v="100"/>
        <n v="180"/>
        <n v="120"/>
        <n v="1900"/>
        <n v="3800"/>
        <n v="200"/>
        <n v="30"/>
        <n v="3500"/>
        <n v="4000"/>
        <n v="9600"/>
        <n v="13100"/>
        <n v="5000"/>
        <n v="10000"/>
        <n v="23100"/>
        <n v="7500"/>
        <n v="4500"/>
        <n v="2300"/>
        <n v="4900"/>
        <n v="708"/>
        <n v="354"/>
        <n v="23454"/>
        <n v="37654"/>
        <n v="97354"/>
        <n v="47354"/>
        <n v="45161"/>
        <n v="1"/>
        <n v="46034"/>
        <n v="22580"/>
        <n v="71634"/>
        <n v="111634"/>
        <n v="1121"/>
        <n v="1120"/>
        <n v="40000"/>
        <n v="2400"/>
        <n v="1737"/>
        <n v="3219"/>
        <n v="52400"/>
        <n v="92300"/>
        <n v="7000"/>
        <n v="9000"/>
        <n v="92400"/>
        <n v="102400"/>
        <n v="11000"/>
        <n v="32400"/>
        <n v="4400"/>
        <n v="6400"/>
        <n v="10400"/>
        <n v="8400"/>
        <n v="30000"/>
        <n v="60000"/>
        <n v="6000"/>
        <n v="8000"/>
        <n v="20000"/>
        <n v="152900"/>
        <n v="197457"/>
        <n v="110560"/>
        <n v="44557"/>
        <n v="22000"/>
        <n v="3285"/>
        <n v="9871"/>
        <n v="19871"/>
        <n v="2082"/>
        <n v="8500"/>
        <n v="5800"/>
        <n v="7800"/>
        <n v="3600"/>
        <n v="12800"/>
        <n v="6500"/>
        <n v="12000"/>
        <n v="14000"/>
        <n v="11250"/>
        <n v="14150"/>
        <n v="4700"/>
        <n v="14250"/>
        <n v="13000"/>
        <n v="37400"/>
        <n v="68600"/>
        <n v="1100"/>
        <n v="1200"/>
        <n v="8700"/>
        <n v="3400"/>
        <n v="2121"/>
        <n v="9400"/>
        <n v="12400"/>
        <n v="19400"/>
        <n v="22400"/>
        <n v="22100"/>
        <n v="22200"/>
        <n v="26100"/>
        <n v="6100"/>
        <n v="25200"/>
        <n v="9800"/>
        <n v="6250"/>
        <n v="3250"/>
        <n v="24700"/>
        <n v="10"/>
        <n v="58500"/>
        <n v="2176"/>
        <n v="23300"/>
        <n v="11500"/>
        <n v="23700"/>
        <n v="36200"/>
        <n v="56200"/>
        <n v="80000"/>
        <n v="26700"/>
        <n v="29000"/>
        <n v="16000"/>
        <n v="30200"/>
        <n v="13600"/>
        <n v="4271"/>
        <n v="1388"/>
        <n v="3246"/>
        <n v="1393"/>
        <n v="2503"/>
        <n v="1421"/>
        <n v="6200"/>
        <n v="18000"/>
        <n v="26000"/>
        <n v="12700"/>
        <n v="5700"/>
        <n v="32000"/>
        <n v="7246"/>
        <n v="38000"/>
        <n v="4241"/>
        <n v="4877"/>
        <n v="1700"/>
        <n v="44000"/>
        <n v="54000"/>
        <n v="64000"/>
        <n v="1600"/>
        <n v="11600"/>
        <n v="7600"/>
        <n v="6700"/>
        <n v="28000"/>
        <n v="10800"/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4748.659837963" refreshedBy="D" recordCount="2288">
  <cacheSource type="worksheet">
    <worksheetSource ref="A1:P1048576" sheet="汇总"/>
  </cacheSource>
  <cacheFields count="16">
    <cacheField name="交割日期" numFmtId="0">
      <sharedItems containsBlank="1" count="619">
        <s v="20140924"/>
        <s v="20140925"/>
        <s v="20140926"/>
        <s v="20141008"/>
        <s v="20141010"/>
        <s v="20141013"/>
        <s v="20141014"/>
        <s v="20141015"/>
        <s v="20141016"/>
        <s v="20141017"/>
        <s v="20141020"/>
        <s v="20141021"/>
        <s v="20141022"/>
        <s v="20141023"/>
        <s v="20141030"/>
        <s v="20141105"/>
        <s v="20141106"/>
        <s v="20141107"/>
        <s v="20141111"/>
        <s v="20141113"/>
        <s v="20141119"/>
        <s v="20141120"/>
        <s v="20141124"/>
        <s v="20141125"/>
        <s v="20141127"/>
        <s v="20141205"/>
        <s v="20141212"/>
        <s v="20141219"/>
        <s v="20141222"/>
        <s v="20141226"/>
        <s v="20141230"/>
        <s v="20150105"/>
        <s v="20150106"/>
        <s v="20150107"/>
        <s v="20150116"/>
        <s v="20150123"/>
        <s v="20150129"/>
        <s v="20150210"/>
        <s v="20150211"/>
        <s v="20150212"/>
        <s v="20150213"/>
        <s v="20150216"/>
        <s v="20150217"/>
        <s v="20150303"/>
        <s v="20150305"/>
        <s v="20150306"/>
        <s v="20150309"/>
        <s v="20150310"/>
        <s v="20150311"/>
        <s v="20150312"/>
        <s v="20150313"/>
        <s v="20150316"/>
        <s v="20150318"/>
        <s v="20150319"/>
        <s v="20150320"/>
        <s v="20150401"/>
        <s v="20150403"/>
        <s v="20150428"/>
        <s v="20150430"/>
        <s v="20150519"/>
        <s v="20150520"/>
        <s v="20150527"/>
        <s v="20150528"/>
        <s v="20150529"/>
        <s v="20150601"/>
        <s v="20150602"/>
        <s v="20150604"/>
        <s v="20150605"/>
        <s v="20150608"/>
        <s v="20150609"/>
        <s v="20150615"/>
        <s v="20150616"/>
        <s v="20150617"/>
        <s v="20150618"/>
        <s v="20150619"/>
        <s v="20150623"/>
        <s v="20150625"/>
        <s v="20150626"/>
        <s v="20150629"/>
        <s v="20150630"/>
        <s v="20150701"/>
        <s v="20150702"/>
        <s v="20150703"/>
        <s v="20150706"/>
        <s v="20150707"/>
        <s v="20150708"/>
        <s v="20150709"/>
        <s v="20150710"/>
        <s v="20150713"/>
        <s v="20150714"/>
        <s v="20150715"/>
        <s v="20150716"/>
        <s v="20150717"/>
        <s v="20150720"/>
        <s v="20150721"/>
        <s v="20150722"/>
        <s v="20150723"/>
        <s v="20150724"/>
        <s v="20150727"/>
        <s v="20150728"/>
        <s v="20150729"/>
        <s v="20150730"/>
        <s v="20150731"/>
        <s v="20150803"/>
        <s v="20150804"/>
        <s v="20150805"/>
        <s v="20150806"/>
        <s v="20150807"/>
        <s v="20150810"/>
        <s v="20150812"/>
        <s v="20150814"/>
        <s v="20150817"/>
        <s v="20150821"/>
        <s v="20150825"/>
        <s v="20150827"/>
        <s v="20150828"/>
        <s v="20150902"/>
        <s v="20150907"/>
        <s v="20150909"/>
        <s v="20150911"/>
        <s v="20150914"/>
        <s v="20150915"/>
        <s v="20150917"/>
        <s v="20150918"/>
        <s v="20150921"/>
        <s v="20150924"/>
        <s v="20151013"/>
        <s v="20151016"/>
        <s v="20151019"/>
        <s v="20151020"/>
        <s v="20151021"/>
        <s v="20151022"/>
        <s v="20151028"/>
        <s v="20151102"/>
        <s v="20151103"/>
        <s v="20151109"/>
        <s v="20151113"/>
        <s v="20151127"/>
        <s v="20151208"/>
        <s v="20151209"/>
        <s v="20151210"/>
        <s v="20151211"/>
        <s v="20151215"/>
        <s v="20151216"/>
        <s v="20151221"/>
        <s v="20151222"/>
        <s v="20151223"/>
        <s v="20151224"/>
        <s v="20151228"/>
        <s v="20151229"/>
        <s v="20151230"/>
        <s v="20151231"/>
        <s v="20160104"/>
        <s v="20160105"/>
        <s v="20160108"/>
        <s v="20160111"/>
        <s v="20160112"/>
        <s v="20160114"/>
        <s v="20160115"/>
        <s v="20160118"/>
        <s v="20160127"/>
        <s v="20160202"/>
        <s v="20160203"/>
        <s v="20160205"/>
        <s v="20160219"/>
        <s v="20160222"/>
        <s v="20160223"/>
        <s v="20160224"/>
        <s v="20160225"/>
        <s v="20160226"/>
        <s v="20160301"/>
        <s v="20160303"/>
        <s v="20160304"/>
        <s v="20160321"/>
        <s v="20160325"/>
        <s v="20160401"/>
        <s v="20160413"/>
        <s v="20160415"/>
        <s v="20160418"/>
        <s v="20160420"/>
        <s v="20160503"/>
        <s v="20160509"/>
        <s v="20160511"/>
        <s v="20160512"/>
        <s v="20160513"/>
        <s v="20160516"/>
        <s v="20160519"/>
        <s v="20160520"/>
        <s v="20160523"/>
        <s v="20160620"/>
        <s v="20160624"/>
        <s v="20160628"/>
        <s v="20160629"/>
        <s v="20160630"/>
        <s v="20160704"/>
        <s v="20160705"/>
        <s v="20160706"/>
        <s v="20160707"/>
        <s v="20160720"/>
        <s v="20160726"/>
        <s v="20160727"/>
        <s v="20160728"/>
        <s v="20160803"/>
        <s v="20160805"/>
        <s v="20160808"/>
        <s v="20160810"/>
        <s v="20160811"/>
        <s v="20160815"/>
        <s v="20160816"/>
        <s v="20160826"/>
        <s v="20160831"/>
        <s v="20160905"/>
        <s v="20160909"/>
        <s v="20160912"/>
        <s v="20160920"/>
        <s v="20161017"/>
        <s v="20161024"/>
        <s v="20161025"/>
        <s v="20161103"/>
        <s v="20161109"/>
        <s v="20161110"/>
        <s v="20161111"/>
        <s v="20161115"/>
        <s v="20161116"/>
        <s v="20161117"/>
        <s v="20161124"/>
        <s v="20161125"/>
        <s v="20161201"/>
        <s v="20161205"/>
        <s v="20161207"/>
        <s v="20161215"/>
        <s v="20161219"/>
        <s v="20161220"/>
        <s v="20161228"/>
        <s v="20161229"/>
        <s v="20161230"/>
        <s v="20170103"/>
        <s v="20170105"/>
        <s v="20170109"/>
        <s v="20170214"/>
        <s v="20170215"/>
        <s v="20170216"/>
        <s v="20170217"/>
        <s v="20170220"/>
        <s v="20170223"/>
        <s v="20170224"/>
        <s v="20170301"/>
        <s v="20170309"/>
        <s v="20170320"/>
        <s v="20170330"/>
        <s v="20170410"/>
        <s v="20170426"/>
        <s v="20170427"/>
        <s v="20170510"/>
        <s v="20170518"/>
        <s v="20170607"/>
        <s v="20170609"/>
        <s v="20170613"/>
        <s v="20170615"/>
        <s v="20170620"/>
        <s v="20170630"/>
        <s v="20170703"/>
        <s v="20170710"/>
        <s v="20170713"/>
        <s v="20170719"/>
        <s v="20170720"/>
        <s v="20170721"/>
        <s v="20170724"/>
        <s v="20170726"/>
        <s v="20170727"/>
        <s v="20170731"/>
        <s v="20170801"/>
        <s v="20170808"/>
        <s v="20170809"/>
        <s v="20170814"/>
        <s v="20170815"/>
        <s v="20170816"/>
        <s v="20170817"/>
        <s v="20170823"/>
        <s v="20170824"/>
        <s v="20170825"/>
        <s v="20170831"/>
        <s v="20170901"/>
        <s v="20170906"/>
        <s v="20170907"/>
        <s v="20170913"/>
        <s v="20170914"/>
        <s v="20170918"/>
        <s v="20170919"/>
        <s v="20170920"/>
        <s v="20170922"/>
        <s v="20170925"/>
        <s v="20170926"/>
        <s v="20170927"/>
        <s v="20170929"/>
        <s v="20171009"/>
        <s v="20171012"/>
        <s v="20171013"/>
        <s v="20171020"/>
        <s v="20171023"/>
        <s v="20171024"/>
        <s v="20171026"/>
        <s v="20171027"/>
        <s v="20171030"/>
        <s v="20171103"/>
        <s v="20171106"/>
        <s v="20171107"/>
        <s v="20171113"/>
        <s v="20171120"/>
        <s v="20171121"/>
        <s v="20171220"/>
        <s v="20171226"/>
        <s v="20180110"/>
        <s v="20180112"/>
        <s v="20180119"/>
        <s v="20180129"/>
        <s v="20180131"/>
        <s v="20180206"/>
        <s v="20180207"/>
        <s v="20180208"/>
        <s v="20180209"/>
        <s v="20180214"/>
        <s v="20180222"/>
        <s v="20180227"/>
        <s v="20180228"/>
        <s v="20180301"/>
        <s v="20180302"/>
        <s v="20180306"/>
        <s v="20180308"/>
        <s v="20180320"/>
        <s v="20180402"/>
        <s v="20180413"/>
        <s v="20180420"/>
        <s v="20180518"/>
        <s v="20180605"/>
        <s v="20180606"/>
        <s v="20180608"/>
        <s v="20180611"/>
        <s v="20180613"/>
        <s v="20180615"/>
        <s v="20180620"/>
        <s v="20180702"/>
        <s v="20180720"/>
        <s v="20180806"/>
        <s v="20180807"/>
        <s v="20180816"/>
        <s v="20180817"/>
        <s v="20180820"/>
        <s v="20180903"/>
        <s v="20180904"/>
        <s v="20180905"/>
        <s v="20180917"/>
        <s v="20180920"/>
        <s v="20181116"/>
        <s v="20181119"/>
        <s v="20181120"/>
        <s v="20181122"/>
        <s v="20181128"/>
        <s v="20181129"/>
        <s v="20181204"/>
        <s v="20181217"/>
        <s v="20181220"/>
        <s v="20190108"/>
        <s v="20190118"/>
        <s v="20190220"/>
        <s v="20190222"/>
        <s v="20190226"/>
        <s v="20190308"/>
        <s v="20190315"/>
        <s v="20190320"/>
        <s v="20190322"/>
        <s v="20190325"/>
        <s v="20190326"/>
        <s v="20190415"/>
        <s v="20190417"/>
        <s v="20190419"/>
        <s v="20190423"/>
        <s v="20190424"/>
        <s v="20190507"/>
        <s v="20190510"/>
        <s v="20190514"/>
        <s v="20190520"/>
        <s v="20190530"/>
        <s v="20190619"/>
        <s v="20190620"/>
        <s v="20190626"/>
        <s v="20190719"/>
        <s v="20190722"/>
        <s v="20190729"/>
        <s v="20190730"/>
        <s v="20190806"/>
        <s v="20190808"/>
        <s v="20190809"/>
        <s v="20190812"/>
        <s v="20190814"/>
        <s v="20190815"/>
        <s v="20190820"/>
        <s v="20190822"/>
        <s v="20190902"/>
        <s v="20190903"/>
        <s v="20190906"/>
        <s v="20190909"/>
        <s v="20190912"/>
        <s v="20190917"/>
        <s v="20190918"/>
        <s v="20190920"/>
        <s v="20190926"/>
        <s v="20190930"/>
        <s v="20191011"/>
        <s v="20191018"/>
        <s v="20191028"/>
        <s v="20191107"/>
        <s v="20191111"/>
        <s v="20191112"/>
        <s v="20191113"/>
        <s v="20191119"/>
        <s v="20191120"/>
        <s v="20191121"/>
        <s v="20191126"/>
        <s v="20191127"/>
        <s v="20191128"/>
        <s v="20191202"/>
        <s v="20191203"/>
        <s v="20191204"/>
        <s v="20191209"/>
        <s v="20191210"/>
        <s v="20191211"/>
        <s v="20191213"/>
        <s v="20191216"/>
        <s v="20191217"/>
        <s v="20191220"/>
        <s v="20191226"/>
        <s v="20191230"/>
        <s v="20200103"/>
        <s v="20200106"/>
        <s v="20200108"/>
        <s v="20200117"/>
        <s v="20200120"/>
        <s v="20200123"/>
        <s v="20200203"/>
        <s v="20200205"/>
        <s v="20200206"/>
        <s v="20200207"/>
        <s v="20200210"/>
        <s v="20200212"/>
        <s v="20200213"/>
        <s v="20200214"/>
        <s v="20200217"/>
        <s v="20200220"/>
        <s v="20200226"/>
        <s v="20200309"/>
        <s v="20200310"/>
        <s v="20200318"/>
        <s v="20200319"/>
        <s v="20200320"/>
        <s v="20200415"/>
        <s v="20200417"/>
        <s v="20200420"/>
        <s v="20200423"/>
        <s v="20200429"/>
        <s v="20200506"/>
        <s v="20200512"/>
        <s v="20200520"/>
        <s v="20200528"/>
        <s v="20200603"/>
        <s v="20200604"/>
        <s v="20200605"/>
        <s v="20200608"/>
        <s v="20200609"/>
        <s v="20200610"/>
        <s v="20200612"/>
        <s v="20200616"/>
        <s v="20200617"/>
        <s v="20200618"/>
        <s v="20200619"/>
        <s v="20200622"/>
        <s v="20200623"/>
        <s v="20200624"/>
        <s v="20200630"/>
        <s v="20200703"/>
        <s v="20200706"/>
        <s v="20200707"/>
        <s v="20200708"/>
        <s v="20200713"/>
        <s v="20200716"/>
        <s v="20200717"/>
        <s v="20200720"/>
        <s v="20200721"/>
        <s v="20200724"/>
        <s v="20200728"/>
        <s v="20200729"/>
        <s v="20200820"/>
        <s v="20200827"/>
        <s v="20200901"/>
        <s v="20200902"/>
        <s v="20200904"/>
        <s v="20200907"/>
        <s v="20200908"/>
        <s v="20200909"/>
        <s v="20200910"/>
        <s v="20200914"/>
        <s v="20200918"/>
        <s v="20200921"/>
        <s v="20200925"/>
        <s v="20201019"/>
        <s v="20201020"/>
        <s v="20201022"/>
        <s v="20201023"/>
        <s v="20201027"/>
        <s v="20201029"/>
        <s v="20201030"/>
        <s v="20201104"/>
        <s v="20201106"/>
        <s v="20201110"/>
        <s v="20201116"/>
        <s v="20201117"/>
        <s v="20201120"/>
        <s v="20201123"/>
        <s v="20201124"/>
        <s v="20201127"/>
        <s v="20201204"/>
        <s v="20201214"/>
        <s v="20201217"/>
        <s v="20201218"/>
        <s v="20201222"/>
        <s v="20210105"/>
        <s v="20210107"/>
        <s v="20210118"/>
        <s v="20210120"/>
        <s v="20210122"/>
        <s v="20210201"/>
        <s v="20210312"/>
        <s v="20210319"/>
        <s v="20210414"/>
        <s v="20210527"/>
        <s v="20210528"/>
        <s v="20210609"/>
        <s v="20210616"/>
        <s v="20210617"/>
        <s v="20210618"/>
        <s v="20210730"/>
        <s v="20210826"/>
        <s v="20210901"/>
        <s v="20210903"/>
        <s v="20210906"/>
        <s v="20210907"/>
        <s v="20210908"/>
        <s v="20210909"/>
        <s v="20210910"/>
        <s v="20210914"/>
        <s v="20210916"/>
        <s v="20210917"/>
        <s v="20210922"/>
        <s v="20210923"/>
        <s v="20210924"/>
        <s v="20210927"/>
        <s v="20210928"/>
        <s v="20210929"/>
        <s v="20210930"/>
        <s v="20211008"/>
        <s v="20211011"/>
        <s v="20211012"/>
        <s v="20211013"/>
        <s v="20211015"/>
        <s v="20211020"/>
        <s v="20211028"/>
        <s v="20211029"/>
        <s v="20211102"/>
        <s v="20211105"/>
        <s v="20211110"/>
        <s v="20211117"/>
        <s v="20211119"/>
        <s v="20211130"/>
        <s v="20211201"/>
        <s v="20211203"/>
        <s v="20211206"/>
        <s v="20211214"/>
        <s v="20211215"/>
        <s v="20211220"/>
        <s v="20211223"/>
        <s v="20211224"/>
        <s v="20220106"/>
        <s v="20220117"/>
        <s v="20220119"/>
        <s v="20220120"/>
        <s v="20220121"/>
        <s v="20220125"/>
        <s v="20220127"/>
        <s v="20220207"/>
        <s v="20220208"/>
        <s v="20220211"/>
        <s v="20220217"/>
        <s v="20220218"/>
        <s v="20220225"/>
        <s v="20220302"/>
        <s v="20220307"/>
        <s v="20220308"/>
        <s v="20220309"/>
        <s v="20220310"/>
        <s v="20220316"/>
        <s v="20220317"/>
        <s v="20220318"/>
        <s v="20220328"/>
        <s v="20220329"/>
        <s v="20220330"/>
        <s v="20220406"/>
        <s v="20220420"/>
        <s v="20220526"/>
        <s v="20220530"/>
        <s v="20220601"/>
        <s v="20220608"/>
        <s v="20220609"/>
        <s v="20220610"/>
        <s v="20220613"/>
        <s v="20220620"/>
        <s v="20220621"/>
        <s v="20220623"/>
        <s v="20220624"/>
        <m/>
      </sharedItems>
    </cacheField>
    <cacheField name="证券代码" numFmtId="0">
      <sharedItems containsBlank="1" count="41">
        <s v="000606"/>
        <s v="150181"/>
        <s v="601607"/>
        <s v="601166"/>
        <s v="000541"/>
        <m/>
        <s v="600066"/>
        <s v="161024"/>
        <s v="600467"/>
        <s v="600664"/>
        <s v="511990"/>
        <s v="601179"/>
        <s v="600219"/>
        <s v="601669"/>
        <s v="601919"/>
        <s v="000868"/>
        <s v="150259"/>
        <s v="510300"/>
        <s v="002296"/>
        <s v="600575"/>
        <s v="000667"/>
        <s v="600886"/>
        <s v="002154"/>
        <s v="300535"/>
        <s v="601000"/>
        <s v="002183"/>
        <s v="000601"/>
        <s v="601866"/>
        <s v="000768"/>
        <s v="002023"/>
        <s v="600613"/>
        <s v="000543"/>
        <s v="002419"/>
        <s v="000050"/>
        <s v="600172"/>
        <s v="600028"/>
        <s v="300829"/>
        <s v="600362"/>
        <s v="603707"/>
        <s v="003016"/>
        <s v="159781"/>
      </sharedItems>
    </cacheField>
    <cacheField name="证券名称" numFmtId="0">
      <sharedItems containsBlank="1" count="47">
        <s v="青海明胶"/>
        <s v="军工A"/>
        <s v="上海医药"/>
        <s v="兴业银行"/>
        <s v="佛山照明"/>
        <m/>
        <s v="宇通客车"/>
        <s v="富国军工"/>
        <s v="好当家"/>
        <s v="哈药股份"/>
        <s v="华宝添益"/>
        <s v="中国西电"/>
        <s v="南山铝业"/>
        <s v="中国电建"/>
        <s v="中国远洋"/>
        <s v="安凯客车"/>
        <s v="军工分级"/>
        <s v="DR宇通客"/>
        <s v="重组A"/>
        <s v="300ETF"/>
        <s v="辉煌科技"/>
        <s v="皖江物流"/>
        <s v="美好集团"/>
        <s v="国投电力"/>
        <s v="报 喜 鸟"/>
        <s v="达威股份"/>
        <s v="美好置业"/>
        <s v="唐山港"/>
        <s v="怡 亚 通"/>
        <s v="韶能股份"/>
        <s v="中远海控"/>
        <s v="中远海发"/>
        <s v="中航飞机"/>
        <s v="海特高新"/>
        <s v="神奇制药"/>
        <s v="皖能电力"/>
        <s v="天虹股份"/>
        <s v="深天马Ａ"/>
        <s v="黄河旋风"/>
        <s v="中国石化"/>
        <s v="金丹科技"/>
        <s v="江西铜业"/>
        <s v="健友股份"/>
        <s v="XD中国石"/>
        <s v="欣贺股份"/>
        <s v="淮河能源"/>
        <s v="科创创业"/>
      </sharedItems>
    </cacheField>
    <cacheField name="业务名称" numFmtId="0">
      <sharedItems containsBlank="1" count="26">
        <s v="担保物转入"/>
        <s v="融资买入"/>
        <s v="融资借入"/>
        <s v="银行转证券"/>
        <s v="担保品卖出"/>
        <s v="偿还融资负债本金"/>
        <s v="偿还融资利息"/>
        <s v="证券分拆记增/基"/>
        <s v="卖券还款"/>
        <s v="担保物转出"/>
        <s v="担保品买入"/>
        <s v="ETF 申购退款"/>
        <s v="证券转银行"/>
        <s v="利息归本"/>
        <s v="红利入账"/>
        <s v="红股入账"/>
        <s v="股息红利差异扣税"/>
        <s v="配售缴款"/>
        <s v="新股入帐"/>
        <s v="融券卖出"/>
        <s v="融券借入"/>
        <s v="偿还融券费用"/>
        <s v="买券还券"/>
        <s v="偿还融券负债"/>
        <s v="偿还融券权益金额"/>
        <m/>
      </sharedItems>
    </cacheField>
    <cacheField name="成交价格" numFmtId="0">
      <sharedItems containsString="0" containsBlank="1" containsNumber="1" minValue="0" maxValue="120.546" count="608">
        <n v="7.13"/>
        <n v="0.902"/>
        <n v="13.66"/>
        <n v="10.87"/>
        <n v="12.17"/>
        <n v="0"/>
        <n v="15.34"/>
        <n v="11.88"/>
        <n v="18.51"/>
        <n v="18.95"/>
        <n v="19.29"/>
        <n v="6.26"/>
        <n v="19.09"/>
        <n v="6.19"/>
        <n v="1"/>
        <n v="6.2"/>
        <n v="6.17"/>
        <n v="6.13"/>
        <n v="6.1"/>
        <n v="0.879"/>
        <n v="6.05"/>
        <n v="7.7"/>
        <n v="5.98"/>
        <n v="6.08"/>
        <n v="7.77"/>
        <n v="6.07"/>
        <n v="6.06"/>
        <n v="7.51"/>
        <n v="5.94"/>
        <n v="5.9"/>
        <n v="5.87"/>
        <n v="5.82"/>
        <n v="14.41"/>
        <n v="14.36"/>
        <n v="7.12"/>
        <n v="11.07"/>
        <n v="6.04"/>
        <n v="6"/>
        <n v="14.27"/>
        <n v="14.16"/>
        <n v="99.981"/>
        <n v="14.38"/>
        <n v="99.765"/>
        <n v="0.88"/>
        <n v="99.839"/>
        <n v="16.54"/>
        <n v="16.71"/>
        <n v="16.4"/>
        <n v="16.28"/>
        <n v="15.93"/>
        <n v="10.63"/>
        <n v="11.04"/>
        <n v="8.47"/>
        <n v="7.65"/>
        <n v="20.58"/>
        <n v="20.53"/>
        <n v="0.8"/>
        <n v="10.39"/>
        <n v="6.53"/>
        <n v="23.81"/>
        <n v="24.57"/>
        <n v="10.61"/>
        <n v="10.51"/>
        <n v="10.95"/>
        <n v="11.16"/>
        <n v="8.06"/>
        <n v="6.4"/>
        <n v="6.83"/>
        <n v="6.73"/>
        <n v="6.54"/>
        <n v="11.23"/>
        <n v="6.28"/>
        <n v="27.39"/>
        <n v="19.59"/>
        <n v="19.15"/>
        <n v="19.27"/>
        <n v="19.218"/>
        <n v="26.99"/>
        <n v="18.88"/>
        <n v="18.72"/>
        <n v="26.2"/>
        <n v="6.34"/>
        <n v="19.02"/>
        <n v="26.31"/>
        <n v="21.01"/>
        <n v="20.87"/>
        <n v="21.72"/>
        <n v="27.21"/>
        <n v="6.31"/>
        <n v="6.5"/>
        <n v="22.91"/>
        <n v="27.32"/>
        <n v="27.49"/>
        <n v="27.87"/>
        <n v="10.89"/>
        <n v="22.44"/>
        <n v="28.53"/>
        <n v="28.75"/>
        <n v="7.15"/>
        <n v="28.52"/>
        <n v="31.2"/>
        <n v="11.05"/>
        <n v="11.29"/>
        <n v="11.36"/>
        <n v="24"/>
        <n v="12.42"/>
        <n v="0.816"/>
        <n v="0.799"/>
        <n v="11.74"/>
        <n v="12.13"/>
        <n v="12.28"/>
        <n v="12.73"/>
        <n v="12.71"/>
        <n v="12.58"/>
        <n v="12.07"/>
        <n v="12.91"/>
        <n v="0.809"/>
        <n v="13.18"/>
        <n v="12.95"/>
        <n v="12.63"/>
        <n v="0.767"/>
        <n v="0.777"/>
        <n v="21.65"/>
        <n v="21.2"/>
        <n v="20.84"/>
        <n v="21.57"/>
        <n v="21.47"/>
        <n v="20.63"/>
        <n v="11.51"/>
        <n v="20.41"/>
        <n v="11.89"/>
        <n v="20.5"/>
        <n v="20.03"/>
        <n v="11.02"/>
        <n v="16.66"/>
        <n v="8.81"/>
        <n v="20"/>
        <n v="9.85"/>
        <n v="10.08"/>
        <n v="20.8"/>
        <n v="19.8"/>
        <n v="7.97"/>
        <n v="8.51"/>
        <n v="20.16"/>
        <n v="19.56"/>
        <n v="19.95"/>
        <n v="19.46"/>
        <n v="19.17"/>
        <n v="19.9"/>
        <n v="7.45"/>
        <n v="0.818"/>
        <n v="17.9"/>
        <n v="16.11"/>
        <n v="19.18"/>
        <n v="19.19"/>
        <n v="20.89"/>
        <n v="0.803"/>
        <n v="9.15"/>
        <n v="20.78"/>
        <n v="21.15"/>
        <n v="21.97"/>
        <n v="20.15"/>
        <n v="20.54"/>
        <n v="20.48"/>
        <n v="9.36"/>
        <n v="19.12"/>
        <n v="19.6"/>
        <n v="0.876"/>
        <n v="19.82"/>
        <n v="20.08"/>
        <n v="19.91"/>
        <n v="20.11"/>
        <n v="20.28"/>
        <n v="20.02"/>
        <n v="19.58"/>
        <n v="20.14"/>
        <n v="19.42"/>
        <n v="0.837"/>
        <n v="0.845"/>
        <n v="0.843"/>
        <n v="18.66"/>
        <n v="19.38"/>
        <n v="19.65"/>
        <n v="20.82"/>
        <n v="20.99"/>
        <n v="21.05"/>
        <n v="21.45"/>
        <n v="21.14"/>
        <n v="21.55"/>
        <n v="21.36"/>
        <n v="20.98"/>
        <n v="21.64"/>
        <n v="21.8"/>
        <n v="22.3"/>
        <n v="7.76"/>
        <n v="22.16"/>
        <n v="7.87"/>
        <n v="21.79"/>
        <n v="21.9"/>
        <n v="22.429"/>
        <n v="21.23"/>
        <n v="20.94"/>
        <n v="19.289"/>
        <n v="17.7"/>
        <n v="17.49"/>
        <n v="3.109"/>
        <n v="3.275"/>
        <n v="6.18"/>
        <n v="12.987"/>
        <n v="12.83"/>
        <n v="13.61"/>
        <n v="6.55"/>
        <n v="13.57"/>
        <n v="18.69"/>
        <n v="18.99"/>
        <n v="14.69"/>
        <n v="14.48"/>
        <n v="17.69"/>
        <n v="17.96"/>
        <n v="18.6"/>
        <n v="14.1"/>
        <n v="14.413"/>
        <n v="20.1"/>
        <n v="20.68"/>
        <n v="20.29"/>
        <n v="20.65"/>
        <n v="21.13"/>
        <n v="21.5"/>
        <n v="20.43"/>
        <n v="5.7"/>
        <n v="20.64"/>
        <n v="21.826"/>
        <n v="21.37"/>
        <n v="22.85"/>
        <n v="22.53"/>
        <n v="20.6"/>
        <n v="20.88"/>
        <n v="4.97"/>
        <n v="6.59"/>
        <n v="6.67"/>
        <n v="6.58"/>
        <n v="18.38"/>
        <n v="6.72"/>
        <n v="4.93"/>
        <n v="18.85"/>
        <n v="19.62"/>
        <n v="22.82"/>
        <n v="8.87"/>
        <n v="8.99"/>
        <n v="19.87"/>
        <n v="22.77"/>
        <n v="6.74"/>
        <n v="22.578"/>
        <n v="8.91"/>
        <n v="6.64"/>
        <n v="8.85"/>
        <n v="8.72"/>
        <n v="7.8"/>
        <n v="5.04"/>
        <n v="8.39"/>
        <n v="19.32"/>
        <n v="5"/>
        <n v="19.7"/>
        <n v="7.86"/>
        <n v="19"/>
        <n v="21.62"/>
        <n v="18.17"/>
        <n v="18.73"/>
        <n v="5.29"/>
        <n v="18.11"/>
        <n v="18.37"/>
        <n v="18.08"/>
        <n v="19.258"/>
        <n v="7.095"/>
        <n v="5.14"/>
        <n v="5.25"/>
        <n v="5.32"/>
        <n v="5.47"/>
        <n v="5.03"/>
        <n v="5.2"/>
        <n v="15.03"/>
        <n v="6.22"/>
        <n v="3.66"/>
        <n v="3.96"/>
        <n v="15.28"/>
        <n v="19.3"/>
        <n v="19.88"/>
        <n v="6.51"/>
        <n v="19.16"/>
        <n v="7.06"/>
        <n v="19.79"/>
        <n v="19.66"/>
        <n v="19.22"/>
        <n v="6.52"/>
        <n v="18.92"/>
        <n v="6.62"/>
        <n v="6.802"/>
        <n v="18.65"/>
        <n v="19.47"/>
        <n v="19.54"/>
        <n v="19.51"/>
        <n v="4.04"/>
        <n v="6.84"/>
        <n v="4.12"/>
        <n v="6.45"/>
        <n v="6.88"/>
        <n v="6.69"/>
        <n v="6.86"/>
        <n v="6.66"/>
        <n v="6.89"/>
        <n v="3.65"/>
        <n v="21.6"/>
        <n v="6.48"/>
        <n v="7.07"/>
        <n v="7.33"/>
        <n v="20.34"/>
        <n v="4.43"/>
        <n v="4.45"/>
        <n v="4.46"/>
        <n v="3.224"/>
        <n v="4.28"/>
        <n v="18.5"/>
        <n v="3.88"/>
        <n v="7.04"/>
        <n v="7.55"/>
        <n v="120.546"/>
        <n v="6.78"/>
        <n v="6.75"/>
        <n v="4.51"/>
        <n v="4.54"/>
        <n v="3.91"/>
        <n v="4.57"/>
        <n v="3.95"/>
        <n v="20.37"/>
        <n v="20.55"/>
        <n v="5.85"/>
        <n v="20.76"/>
        <n v="4.36"/>
        <n v="3.527"/>
        <n v="3.51"/>
        <n v="99.859"/>
        <n v="5.76"/>
        <n v="100.009"/>
        <n v="3.69"/>
        <n v="3.76"/>
        <n v="3.72"/>
        <n v="4.48"/>
        <n v="3.77"/>
        <n v="4.62"/>
        <n v="10.7"/>
        <n v="3.73"/>
        <n v="3.8"/>
        <n v="10.94"/>
        <n v="11.19"/>
        <n v="11.14"/>
        <n v="8.25"/>
        <n v="8.38"/>
        <n v="3.68"/>
        <n v="5.36"/>
        <n v="19.336"/>
        <n v="6.9"/>
        <n v="8.61"/>
        <n v="3.54"/>
        <n v="6.99"/>
        <n v="3.3"/>
        <n v="21.91"/>
        <n v="8.68"/>
        <n v="8.86"/>
        <n v="8.77"/>
        <n v="8.42"/>
        <n v="23.12"/>
        <n v="4.01"/>
        <n v="22.66"/>
        <n v="22.49"/>
        <n v="3.92"/>
        <n v="7.2"/>
        <n v="22.13"/>
        <n v="22.39"/>
        <n v="22.018"/>
        <n v="4.17"/>
        <n v="4.05"/>
        <n v="3.35"/>
        <n v="7.74"/>
        <n v="7.82"/>
        <n v="3.37"/>
        <n v="19.1"/>
        <n v="18.96"/>
        <n v="7.73"/>
        <n v="20.39"/>
        <n v="20.74"/>
        <n v="9.28"/>
        <n v="9.22"/>
        <n v="9.12"/>
        <n v="10.6"/>
        <n v="18.55"/>
        <n v="10.74"/>
        <n v="18.44"/>
        <n v="18.71"/>
        <n v="10.35"/>
        <n v="8.55"/>
        <n v="7.41"/>
        <n v="8.45"/>
        <n v="8.66"/>
        <n v="19.11"/>
        <n v="12.16"/>
        <n v="20.09"/>
        <n v="5.69"/>
        <n v="9.02"/>
        <n v="9.55"/>
        <n v="9.13"/>
        <n v="7.75"/>
        <n v="7.89"/>
        <n v="11.09"/>
        <n v="5.57"/>
        <n v="19.2"/>
        <n v="8.65"/>
        <n v="8.33"/>
        <n v="8.28"/>
        <n v="8.36"/>
        <n v="17.89"/>
        <n v="18.21"/>
        <n v="18.35"/>
        <n v="5.21"/>
        <n v="5.01"/>
        <n v="5.1"/>
        <n v="4.71"/>
        <n v="12.93"/>
        <n v="14.11"/>
        <n v="14.56"/>
        <n v="6.92"/>
        <n v="6.81"/>
        <n v="7.37"/>
        <n v="15.5"/>
        <n v="16.15"/>
        <n v="15.58"/>
        <n v="2.32"/>
        <n v="16.8"/>
        <n v="14.88"/>
        <n v="7.457"/>
        <n v="7.38"/>
        <n v="4.14"/>
        <n v="4.58"/>
        <n v="5.83"/>
        <n v="15.59"/>
        <n v="5.63"/>
        <n v="15.7"/>
        <n v="5.24"/>
        <n v="4.5"/>
        <n v="5.28"/>
        <n v="7.6"/>
        <n v="3.86"/>
        <n v="3.99"/>
        <n v="20.2"/>
        <n v="5.58"/>
        <n v="6.02"/>
        <n v="5.37"/>
        <n v="5.51"/>
        <n v="17.41"/>
        <n v="5.38"/>
        <n v="15.84"/>
        <n v="5.02"/>
        <n v="15.77"/>
        <n v="4.66"/>
        <n v="16"/>
        <n v="15.64"/>
        <n v="16.53"/>
        <n v="8.52"/>
        <n v="5.19"/>
        <n v="14.83"/>
        <n v="15.56"/>
        <n v="17.44"/>
        <n v="17.65"/>
        <n v="15.63"/>
        <n v="4.63"/>
        <n v="4.75"/>
        <n v="4.64"/>
        <n v="14.59"/>
        <n v="14.51"/>
        <n v="15.39"/>
        <n v="14.55"/>
        <n v="15.45"/>
        <n v="15.52"/>
        <n v="5.84"/>
        <n v="99.995"/>
        <n v="14.89"/>
        <n v="15.65"/>
        <n v="15.81"/>
        <n v="4.73"/>
        <n v="99.988"/>
        <n v="16.19"/>
        <n v="15.99"/>
        <n v="4.61"/>
        <n v="4.56"/>
        <n v="17.04"/>
        <n v="5.66"/>
        <n v="17.38"/>
        <n v="6.37"/>
        <n v="5.07"/>
        <n v="3.94"/>
        <n v="14.98"/>
        <n v="15.07"/>
        <n v="5.022"/>
        <n v="4"/>
        <n v="15.12"/>
        <n v="15.46"/>
        <n v="15.66"/>
        <n v="14.133"/>
        <n v="3.82"/>
        <n v="4.15"/>
        <n v="3.75"/>
        <n v="3.79"/>
        <n v="4.07"/>
        <n v="4.3"/>
        <n v="4.08"/>
        <n v="12.9"/>
        <n v="40.2"/>
        <n v="12.94"/>
        <n v="12.66"/>
        <n v="13.11"/>
        <n v="61.01"/>
        <n v="12.87"/>
        <n v="12.97"/>
        <n v="3.98"/>
        <n v="59.935"/>
        <n v="4.95"/>
        <n v="4.09"/>
        <n v="4.79"/>
        <n v="13.07"/>
        <n v="13.04"/>
        <n v="13.16"/>
        <n v="13.28"/>
        <n v="13.39"/>
        <n v="4.115"/>
        <n v="4.162"/>
        <n v="13.4"/>
        <n v="61.2"/>
        <n v="4.2"/>
        <n v="59.88"/>
        <n v="5.68"/>
        <n v="5.77"/>
        <n v="13.74"/>
        <n v="12.99"/>
        <n v="5.8"/>
        <n v="13.22"/>
        <n v="5.92"/>
        <n v="4.25"/>
        <n v="4.38"/>
        <n v="4.24"/>
        <n v="5.22"/>
        <n v="4.35"/>
        <n v="5.33"/>
        <n v="5.13"/>
        <n v="11.03"/>
        <n v="3.97"/>
        <n v="2.17"/>
        <n v="4.06"/>
        <n v="2.22"/>
        <n v="11.06"/>
        <n v="10.9"/>
        <n v="4.1"/>
        <n v="4.23"/>
        <n v="4.975"/>
        <n v="3.81"/>
        <n v="4.847"/>
        <n v="7.47"/>
        <n v="11.33"/>
        <n v="4.39"/>
        <n v="11.38"/>
        <n v="4.13"/>
        <n v="4.34"/>
        <n v="4.33"/>
        <n v="4.55"/>
        <n v="4.32"/>
        <n v="4.69"/>
        <n v="4.4"/>
        <n v="4.29"/>
        <n v="4.41"/>
        <n v="4.19"/>
        <n v="3.78"/>
        <n v="3.85"/>
        <n v="4.6"/>
        <n v="5.05"/>
        <n v="5.72"/>
        <n v="0.776"/>
        <n v="0.796"/>
        <n v="0.78"/>
        <n v="0.764"/>
        <n v="4.37"/>
        <n v="0.749"/>
        <n v="0.734"/>
        <n v="0.719"/>
        <n v="0.694"/>
        <n v="0.714"/>
        <n v="0.733"/>
        <n v="0.718"/>
        <n v="0.686"/>
        <n v="3.9"/>
        <n v="4.006"/>
        <n v="0.706"/>
        <n v="0.662"/>
        <n v="0.678"/>
        <n v="0.655"/>
        <n v="4.11"/>
        <n v="0.59"/>
        <n v="0.612"/>
        <n v="4.42"/>
        <n v="0.681"/>
        <m/>
      </sharedItems>
    </cacheField>
    <cacheField name="成交数量" numFmtId="0">
      <sharedItems containsString="0" containsBlank="1" containsNumber="1" containsInteger="1" minValue="0" maxValue="122900" count="71">
        <n v="1500"/>
        <n v="23100"/>
        <n v="2000"/>
        <n v="800"/>
        <n v="1900"/>
        <n v="500"/>
        <n v="0"/>
        <n v="1000"/>
        <n v="3000"/>
        <n v="708"/>
        <n v="354"/>
        <n v="4000"/>
        <n v="900"/>
        <n v="100"/>
        <n v="200"/>
        <n v="23454"/>
        <n v="300"/>
        <n v="71634"/>
        <n v="5000"/>
        <n v="400"/>
        <n v="1482"/>
        <n v="750"/>
        <n v="10000"/>
        <n v="14600"/>
        <n v="7400"/>
        <n v="122900"/>
        <n v="1336"/>
        <n v="1200"/>
        <n v="34600"/>
        <n v="30000"/>
        <n v="2036"/>
        <n v="2500"/>
        <n v="4500"/>
        <n v="7000"/>
        <n v="100000"/>
        <n v="50000"/>
        <n v="1700"/>
        <n v="21000"/>
        <n v="2300"/>
        <n v="5800"/>
        <n v="6000"/>
        <n v="3400"/>
        <n v="3100"/>
        <n v="5100"/>
        <n v="11600"/>
        <n v="1300"/>
        <n v="2800"/>
        <n v="9300"/>
        <n v="2600"/>
        <n v="9000"/>
        <n v="27800"/>
        <n v="18800"/>
        <n v="29000"/>
        <n v="14000"/>
        <n v="1600"/>
        <n v="2400"/>
        <n v="1"/>
        <n v="2503"/>
        <n v="6200"/>
        <n v="2100"/>
        <n v="2900"/>
        <n v="7700"/>
        <n v="8000"/>
        <n v="15700"/>
        <n v="10700"/>
        <n v="1800"/>
        <n v="28000"/>
        <n v="16400"/>
        <n v="16000"/>
        <n v="24300"/>
        <m/>
      </sharedItems>
    </cacheField>
    <cacheField name="成交金额" numFmtId="0">
      <sharedItems containsString="0" containsBlank="1" containsNumber="1" minValue="0" maxValue="250269.96" count="668">
        <n v="10695"/>
        <n v="20836.2"/>
        <n v="27320"/>
        <n v="8696"/>
        <n v="25954"/>
        <n v="6085"/>
        <n v="0"/>
        <n v="15340"/>
        <n v="5940"/>
        <n v="55530"/>
        <n v="18950"/>
        <n v="19290"/>
        <n v="12520"/>
        <n v="19090"/>
        <n v="6190"/>
        <n v="708"/>
        <n v="18600"/>
        <n v="6200"/>
        <n v="6170"/>
        <n v="6130"/>
        <n v="12200"/>
        <n v="311.17"/>
        <n v="24200"/>
        <n v="7700"/>
        <n v="11960"/>
        <n v="18240"/>
        <n v="7770"/>
        <n v="6070"/>
        <n v="18180"/>
        <n v="7510"/>
        <n v="11800"/>
        <n v="5870"/>
        <n v="5820"/>
        <n v="14410"/>
        <n v="17940"/>
        <n v="12924"/>
        <n v="10680"/>
        <n v="8856"/>
        <n v="12080"/>
        <n v="12000"/>
        <n v="7135"/>
        <n v="14160"/>
        <n v="9998.1"/>
        <n v="7190"/>
        <n v="19953"/>
        <n v="20639.52"/>
        <n v="29951.7"/>
        <n v="7.63"/>
        <n v="16540"/>
        <n v="16710"/>
        <n v="49200"/>
        <n v="8140"/>
        <n v="7965"/>
        <n v="10630"/>
        <n v="11040"/>
        <n v="8470"/>
        <n v="7650"/>
        <n v="10290"/>
        <n v="10265"/>
        <n v="57307.2"/>
        <n v="10390"/>
        <n v="13060"/>
        <n v="21429"/>
        <n v="22113"/>
        <n v="10610"/>
        <n v="10510"/>
        <n v="10950"/>
        <n v="11160"/>
        <n v="8060"/>
        <n v="6400"/>
        <n v="6830"/>
        <n v="6730"/>
        <n v="6540"/>
        <n v="11230"/>
        <n v="6280"/>
        <n v="24651"/>
        <n v="19590"/>
        <n v="9575"/>
        <n v="9635"/>
        <n v="9609"/>
        <n v="8097"/>
        <n v="9440"/>
        <n v="9360"/>
        <n v="13100"/>
        <n v="31700"/>
        <n v="9510"/>
        <n v="10524"/>
        <n v="10505"/>
        <n v="10435"/>
        <n v="10860"/>
        <n v="8163"/>
        <n v="12620"/>
        <n v="32500"/>
        <n v="11455"/>
        <n v="13660"/>
        <n v="13745"/>
        <n v="27870"/>
        <n v="32670"/>
        <n v="22440"/>
        <n v="28530"/>
        <n v="28750"/>
        <n v="7150"/>
        <n v="28520"/>
        <n v="15600"/>
        <n v="22100"/>
        <n v="4516"/>
        <n v="1482"/>
        <n v="1425"/>
        <n v="56800"/>
        <n v="18000"/>
        <n v="62100"/>
        <n v="8160"/>
        <n v="7990"/>
        <n v="23480"/>
        <n v="24260"/>
        <n v="61400"/>
        <n v="63650"/>
        <n v="63550"/>
        <n v="62900"/>
        <n v="24140"/>
        <n v="25820"/>
        <n v="11811.4"/>
        <n v="703"/>
        <n v="65900"/>
        <n v="64750"/>
        <n v="93462"/>
        <n v="94264.3"/>
        <n v="95493.3"/>
        <n v="21650"/>
        <n v="28323.2"/>
        <n v="25008"/>
        <n v="21200"/>
        <n v="10785"/>
        <n v="10735"/>
        <n v="20630"/>
        <n v="11510"/>
        <n v="20410"/>
        <n v="11890"/>
        <n v="20500"/>
        <n v="20030"/>
        <n v="11020"/>
        <n v="19150"/>
        <n v="16660"/>
        <n v="8810"/>
        <n v="20000"/>
        <n v="9850"/>
        <n v="10080"/>
        <n v="20800"/>
        <n v="9900"/>
        <n v="7970"/>
        <n v="8510"/>
        <n v="9780"/>
        <n v="9975"/>
        <n v="9730"/>
        <n v="95850"/>
        <n v="99500"/>
        <n v="14900"/>
        <n v="28302.8"/>
        <n v="24000"/>
        <n v="8950"/>
        <n v="8055"/>
        <n v="9590"/>
        <n v="9595"/>
        <n v="10445"/>
        <n v="24090"/>
        <n v="18300"/>
        <n v="41560"/>
        <n v="43061.4"/>
        <n v="10985"/>
        <n v="10075"/>
        <n v="41080"/>
        <n v="51200"/>
        <n v="18720"/>
        <n v="9560"/>
        <n v="9645"/>
        <n v="19600"/>
        <n v="62751.38"/>
        <n v="89190"/>
        <n v="20080"/>
        <n v="19910"/>
        <n v="40220"/>
        <n v="20280"/>
        <n v="20020"/>
        <n v="139370"/>
        <n v="39160"/>
        <n v="40000"/>
        <n v="40280"/>
        <n v="19420"/>
        <n v="83700"/>
        <n v="42250.01"/>
        <n v="42150"/>
        <n v="9330"/>
        <n v="38760"/>
        <n v="58950"/>
        <n v="10410"/>
        <n v="10495"/>
        <n v="10525"/>
        <n v="10725"/>
        <n v="63420"/>
        <n v="10775"/>
        <n v="10490"/>
        <n v="21640"/>
        <n v="21800"/>
        <n v="11150"/>
        <n v="7760"/>
        <n v="22160"/>
        <n v="7870"/>
        <n v="21790"/>
        <n v="98550"/>
        <n v="44858"/>
        <n v="21230"/>
        <n v="41880"/>
        <n v="19289"/>
        <n v="17700"/>
        <n v="17490"/>
        <n v="6218"/>
        <n v="6550"/>
        <n v="12360"/>
        <n v="12987"/>
        <n v="12830"/>
        <n v="13610"/>
        <n v="13570"/>
        <n v="18690"/>
        <n v="56970"/>
        <n v="14690"/>
        <n v="14480"/>
        <n v="17690"/>
        <n v="17960"/>
        <n v="14100"/>
        <n v="14413"/>
        <n v="20100"/>
        <n v="10340"/>
        <n v="10145"/>
        <n v="10325"/>
        <n v="10565"/>
        <n v="10750"/>
        <n v="10215"/>
        <n v="11400"/>
        <n v="10320"/>
        <n v="10913"/>
        <n v="10600"/>
        <n v="10685"/>
        <n v="9140"/>
        <n v="9012"/>
        <n v="10300"/>
        <n v="10440"/>
        <n v="4970"/>
        <n v="13180"/>
        <n v="13340"/>
        <n v="13160"/>
        <n v="18380"/>
        <n v="13440"/>
        <n v="9860"/>
        <n v="18850"/>
        <n v="9810"/>
        <n v="11410"/>
        <n v="8870"/>
        <n v="17980"/>
        <n v="10055"/>
        <n v="19870"/>
        <n v="11385"/>
        <n v="13480"/>
        <n v="11289"/>
        <n v="17820"/>
        <n v="13280"/>
        <n v="17440"/>
        <n v="7800"/>
        <n v="15120"/>
        <n v="16780"/>
        <n v="24800"/>
        <n v="19320"/>
        <n v="19700"/>
        <n v="7860"/>
        <n v="19000"/>
        <n v="21620"/>
        <n v="18170"/>
        <n v="18730"/>
        <n v="15870"/>
        <n v="18110"/>
        <n v="18370"/>
        <n v="18080"/>
        <n v="9629"/>
        <n v="14190"/>
        <n v="5140"/>
        <n v="5250"/>
        <n v="5320"/>
        <n v="5470"/>
        <n v="5030"/>
        <n v="5200"/>
        <n v="7515"/>
        <n v="12440"/>
        <n v="6222"/>
        <n v="6732"/>
        <n v="7640"/>
        <n v="9650"/>
        <n v="9940"/>
        <n v="19530"/>
        <n v="9580"/>
        <n v="9690"/>
        <n v="9935"/>
        <n v="21180"/>
        <n v="9895"/>
        <n v="9830"/>
        <n v="9610"/>
        <n v="19560"/>
        <n v="9460"/>
        <n v="19860"/>
        <n v="20405"/>
        <n v="18650"/>
        <n v="19470"/>
        <n v="13020"/>
        <n v="19540"/>
        <n v="19510"/>
        <n v="12120"/>
        <n v="250"/>
        <n v="13680"/>
        <n v="12680"/>
        <n v="12900"/>
        <n v="6880"/>
        <n v="6690"/>
        <n v="13720"/>
        <n v="13320"/>
        <n v="13780"/>
        <n v="12502"/>
        <n v="1500"/>
        <n v="21600"/>
        <n v="12996"/>
        <n v="12960"/>
        <n v="7070"/>
        <n v="7330"/>
        <n v="5878.53"/>
        <n v="10170"/>
        <n v="13290"/>
        <n v="13350"/>
        <n v="13380"/>
        <n v="9672"/>
        <n v="9825"/>
        <n v="9844"/>
        <n v="9250"/>
        <n v="11640"/>
        <n v="40832"/>
        <n v="15100"/>
        <n v="60273"/>
        <n v="13560"/>
        <n v="27000"/>
        <n v="27060"/>
        <n v="27240"/>
        <n v="11730"/>
        <n v="15538"/>
        <n v="11850"/>
        <n v="20370"/>
        <n v="30825"/>
        <n v="18135"/>
        <n v="20760"/>
        <n v="43600"/>
        <n v="17987.7"/>
        <n v="17900"/>
        <n v="9985.9"/>
        <n v="66816"/>
        <n v="10000.9"/>
        <n v="11.19"/>
        <n v="11070"/>
        <n v="11280"/>
        <n v="22400"/>
        <n v="11310"/>
        <n v="23100"/>
        <n v="21400"/>
        <n v="11190"/>
        <n v="21880"/>
        <n v="11140"/>
        <n v="24750"/>
        <n v="25140"/>
        <n v="4784"/>
        <n v="30950"/>
        <n v="282.5"/>
        <n v="26800"/>
        <n v="9668"/>
        <n v="21525"/>
        <n v="19572"/>
        <n v="500"/>
        <n v="30690"/>
        <n v="10955"/>
        <n v="21700"/>
        <n v="22150"/>
        <n v="21925"/>
        <n v="21050"/>
        <n v="1200"/>
        <n v="11560"/>
        <n v="11228"/>
        <n v="11330"/>
        <n v="11245"/>
        <n v="10976"/>
        <n v="10800"/>
        <n v="11065"/>
        <n v="11195"/>
        <n v="11009"/>
        <n v="10842"/>
        <n v="10530"/>
        <n v="30150"/>
        <n v="23220"/>
        <n v="23460"/>
        <n v="30330"/>
        <n v="9550"/>
        <n v="5615.6"/>
        <n v="9480"/>
        <n v="23190"/>
        <n v="10195"/>
        <n v="10370"/>
        <n v="23200"/>
        <n v="23050"/>
        <n v="22800"/>
        <n v="44050"/>
        <n v="11655"/>
        <n v="9275"/>
        <n v="9475"/>
        <n v="22080"/>
        <n v="10740"/>
        <n v="9220"/>
        <n v="9355"/>
        <n v="10350"/>
        <n v="21375"/>
        <n v="22230"/>
        <n v="21125"/>
        <n v="9555"/>
        <n v="24320"/>
        <n v="20090"/>
        <n v="17070"/>
        <n v="22550"/>
        <n v="23875"/>
        <n v="22825"/>
        <n v="23250"/>
        <n v="23670"/>
        <n v="22180"/>
        <n v="19200"/>
        <n v="21625"/>
        <n v="42250"/>
        <n v="23610"/>
        <n v="20825"/>
        <n v="24840"/>
        <n v="20900"/>
        <n v="17890"/>
        <n v="18210"/>
        <n v="18350"/>
        <n v="15630"/>
        <n v="15030"/>
        <n v="18775"/>
        <n v="15420"/>
        <n v="19325"/>
        <n v="15300"/>
        <n v="42240"/>
        <n v="20970"/>
        <n v="14130"/>
        <n v="12930"/>
        <n v="14110"/>
        <n v="14560"/>
        <n v="15272"/>
        <n v="15216"/>
        <n v="10125"/>
        <n v="18425"/>
        <n v="7750"/>
        <n v="8075"/>
        <n v="150"/>
        <n v="7790"/>
        <n v="16240"/>
        <n v="7440"/>
        <n v="290"/>
        <n v="3133.96"/>
        <n v="1320"/>
        <n v="216253"/>
        <n v="103320"/>
        <n v="20700"/>
        <n v="22900"/>
        <n v="14400"/>
        <n v="14575"/>
        <n v="15590"/>
        <n v="14075"/>
        <n v="15700"/>
        <n v="26200"/>
        <n v="22500"/>
        <n v="26400"/>
        <n v="13225"/>
        <n v="15200"/>
        <n v="6176"/>
        <n v="6384"/>
        <n v="16740"/>
        <n v="15050"/>
        <n v="16110"/>
        <n v="16530"/>
        <n v="8705"/>
        <n v="16140"/>
        <n v="7920"/>
        <n v="12550"/>
        <n v="7885"/>
        <n v="11184"/>
        <n v="440"/>
        <n v="100"/>
        <n v="200"/>
        <n v="8000"/>
        <n v="7820"/>
        <n v="630"/>
        <n v="8265"/>
        <n v="7795"/>
        <n v="5610"/>
        <n v="23856"/>
        <n v="12456"/>
        <n v="14830"/>
        <n v="15560"/>
        <n v="8720"/>
        <n v="11650"/>
        <n v="8825"/>
        <n v="7815"/>
        <n v="11575"/>
        <n v="11875"/>
        <n v="11600"/>
        <n v="7295"/>
        <n v="11775"/>
        <n v="7255"/>
        <n v="7695"/>
        <n v="13740"/>
        <n v="7275"/>
        <n v="15450"/>
        <n v="15520"/>
        <n v="29200"/>
        <n v="249987.5"/>
        <n v="7445"/>
        <n v="31300"/>
        <n v="31620"/>
        <n v="250269.96"/>
        <n v="17.04"/>
        <n v="16190"/>
        <n v="13500"/>
        <n v="15990"/>
        <n v="6461"/>
        <n v="13830"/>
        <n v="17040"/>
        <n v="6994"/>
        <n v="6792"/>
        <n v="17380"/>
        <n v="7644"/>
        <n v="7605"/>
        <n v="13080"/>
        <n v="11820"/>
        <n v="14980"/>
        <n v="15070"/>
        <n v="31136.4"/>
        <n v="15280"/>
        <n v="15460"/>
        <n v="7850"/>
        <n v="23490"/>
        <n v="70665"/>
        <n v="19100"/>
        <n v="12450"/>
        <n v="7875"/>
        <n v="10991"/>
        <n v="12210"/>
        <n v="10200"/>
        <n v="11970"/>
        <n v="11760"/>
        <n v="11265"/>
        <n v="11580"/>
        <n v="12940"/>
        <n v="12660"/>
        <n v="13110"/>
        <n v="12202"/>
        <n v="12870"/>
        <n v="12970"/>
        <n v="11940"/>
        <n v="11987"/>
        <n v="1463"/>
        <n v="12375"/>
        <n v="32720"/>
        <n v="11975"/>
        <n v="13070"/>
        <n v="13125"/>
        <n v="13040"/>
        <n v="26320"/>
        <n v="13390"/>
        <n v="12345"/>
        <n v="125"/>
        <n v="12486"/>
        <n v="13400"/>
        <n v="12240"/>
        <n v="12600"/>
        <n v="2261"/>
        <n v="11976"/>
        <n v="17310"/>
        <n v="12990"/>
        <n v="12270"/>
        <n v="17400"/>
        <n v="13220"/>
        <n v="18660"/>
        <n v="17760"/>
        <n v="12750"/>
        <n v="7500"/>
        <n v="13140"/>
        <n v="12720"/>
        <n v="15660"/>
        <n v="13050"/>
        <n v="1099"/>
        <n v="15390"/>
        <n v="5515"/>
        <n v="15880"/>
        <n v="6510"/>
        <n v="6660"/>
        <n v="11060"/>
        <n v="16350"/>
        <n v="12510"/>
        <n v="16400"/>
        <n v="13530"/>
        <n v="16800"/>
        <n v="16360"/>
        <n v="19400"/>
        <n v="21150"/>
        <n v="14925"/>
        <n v="3116"/>
        <n v="19900"/>
        <n v="19050"/>
        <n v="1391"/>
        <n v="8724.6"/>
        <n v="20050"/>
        <n v="20750"/>
        <n v="18675"/>
        <n v="12420"/>
        <n v="1712"/>
        <n v="13170"/>
        <n v="11380"/>
        <n v="12390"/>
        <n v="13650"/>
        <n v="14070"/>
        <n v="13200"/>
        <n v="11430"/>
        <n v="13230"/>
        <n v="12570"/>
        <n v="11340"/>
        <n v="18750"/>
        <n v="19300"/>
        <n v="11910"/>
        <n v="19250"/>
        <n v="13800"/>
        <n v="15150"/>
        <n v="17160"/>
        <n v="21728"/>
        <n v="11144"/>
        <n v="10920"/>
        <n v="10696"/>
        <n v="10486"/>
        <n v="10276"/>
        <n v="10066"/>
        <n v="9716"/>
        <n v="9996"/>
        <n v="10262"/>
        <n v="10052"/>
        <n v="9604"/>
        <n v="6240"/>
        <n v="400.6"/>
        <n v="6512"/>
        <n v="9884"/>
        <n v="10856.8"/>
        <n v="11119.2"/>
        <n v="10480"/>
        <n v="12330"/>
        <n v="14337"/>
        <n v="14871.6"/>
        <n v="13260"/>
        <n v="3317"/>
        <n v="400"/>
        <n v="10896"/>
        <m/>
      </sharedItems>
    </cacheField>
    <cacheField name="手续费" numFmtId="0">
      <sharedItems containsString="0" containsBlank="1" containsNumber="1" minValue="0" maxValue="109.45" count="339">
        <n v="0"/>
        <n v="6.69"/>
        <n v="5"/>
        <n v="61.08"/>
        <n v="20.85"/>
        <n v="21.22"/>
        <n v="13.77"/>
        <n v="21"/>
        <n v="6.81"/>
        <n v="20.46"/>
        <n v="6.82"/>
        <n v="6.79"/>
        <n v="6.74"/>
        <n v="13.42"/>
        <n v="26.62"/>
        <n v="8.47"/>
        <n v="13.16"/>
        <n v="20.06"/>
        <n v="8.55"/>
        <n v="6.68"/>
        <n v="9.09"/>
        <n v="8.26"/>
        <n v="6.53"/>
        <n v="12.98"/>
        <n v="6.46"/>
        <n v="6.4"/>
        <n v="7.21"/>
        <n v="19.73"/>
        <n v="5.34"/>
        <n v="6.04"/>
        <n v="6"/>
        <n v="7.08"/>
        <n v="18.19"/>
        <n v="18.38"/>
        <n v="24.6"/>
        <n v="11.69"/>
        <n v="12.14"/>
        <n v="9.32"/>
        <n v="8.42"/>
        <n v="11.32"/>
        <n v="11.29"/>
        <n v="5.2"/>
        <n v="10.71"/>
        <n v="24.32"/>
        <n v="5.31"/>
        <n v="5.26"/>
        <n v="5.48"/>
        <n v="5.58"/>
        <n v="8.87"/>
        <n v="7.04"/>
        <n v="7.51"/>
        <n v="7.4"/>
        <n v="7.19"/>
        <n v="12.35"/>
        <n v="12.33"/>
        <n v="9.55"/>
        <n v="9.8"/>
        <n v="6.55"/>
        <n v="34.87"/>
        <n v="11.56"/>
        <n v="5.22"/>
        <n v="5.43"/>
        <n v="6.31"/>
        <n v="16.25"/>
        <n v="5.73"/>
        <n v="6.83"/>
        <n v="6.87"/>
        <n v="13.94"/>
        <n v="35.94"/>
        <n v="11.22"/>
        <n v="14.27"/>
        <n v="14.38"/>
        <n v="14.26"/>
        <n v="7.8"/>
        <n v="11.05"/>
        <n v="62.48"/>
        <n v="9"/>
        <n v="31.05"/>
        <n v="25.83"/>
        <n v="12.13"/>
        <n v="67.54"/>
        <n v="31.83"/>
        <n v="69.91"/>
        <n v="31.45"/>
        <n v="26.55"/>
        <n v="12.91"/>
        <n v="5.91"/>
        <n v="32.95"/>
        <n v="32.38"/>
        <n v="46.73"/>
        <n v="47.13"/>
        <n v="47.75"/>
        <n v="23.82"/>
        <n v="31.16"/>
        <n v="27.51"/>
        <n v="23.32"/>
        <n v="11.86"/>
        <n v="11.81"/>
        <n v="22.69"/>
        <n v="12.66"/>
        <n v="22.45"/>
        <n v="6.36"/>
        <n v="6.21"/>
        <n v="5.94"/>
        <n v="5.16"/>
        <n v="6.2"/>
        <n v="6.45"/>
        <n v="10.89"/>
        <n v="8.77"/>
        <n v="10.76"/>
        <n v="10.7"/>
        <n v="29.71"/>
        <n v="109.45"/>
        <n v="16.39"/>
        <n v="7.44"/>
        <n v="9.85"/>
        <n v="8.86"/>
        <n v="7.47"/>
        <n v="5.67"/>
        <n v="12.88"/>
        <n v="13.35"/>
        <n v="11.08"/>
        <n v="45.19"/>
        <n v="15.87"/>
        <n v="5.8"/>
        <n v="10.52"/>
        <n v="21.56"/>
        <n v="19.45"/>
        <n v="98.11"/>
        <n v="6.22"/>
        <n v="21.9"/>
        <n v="12.47"/>
        <n v="6.29"/>
        <n v="22.02"/>
        <n v="43.2"/>
        <n v="43.08"/>
        <n v="44"/>
        <n v="12.49"/>
        <n v="21.36"/>
        <n v="25.95"/>
        <n v="13.1"/>
        <n v="13.07"/>
        <n v="12.02"/>
        <n v="64.85"/>
        <n v="19.66"/>
        <n v="23.8"/>
        <n v="6.76"/>
        <n v="8.54"/>
        <n v="24.38"/>
        <n v="23.97"/>
        <n v="30.55"/>
        <n v="49.34"/>
        <n v="6.58"/>
        <n v="5.98"/>
        <n v="5.49"/>
        <n v="5.42"/>
        <n v="5.79"/>
        <n v="62.67"/>
        <n v="5.57"/>
        <n v="6.23"/>
        <n v="20.22"/>
        <n v="5.84"/>
        <n v="6.16"/>
        <n v="5.52"/>
        <n v="19.18"/>
        <n v="16.63"/>
        <n v="18.46"/>
        <n v="7.69"/>
        <n v="5.99"/>
        <n v="6.11"/>
        <n v="5.89"/>
        <n v="23.78"/>
        <n v="19.99"/>
        <n v="5.81"/>
        <n v="5.61"/>
        <n v="5.69"/>
        <n v="5.6"/>
        <n v="10.59"/>
        <n v="15.61"/>
        <n v="10.62"/>
        <n v="6.05"/>
        <n v="10.54"/>
        <n v="23.3"/>
        <n v="10.88"/>
        <n v="10.57"/>
        <n v="6.06"/>
        <n v="21.85"/>
        <n v="6.33"/>
        <n v="20.52"/>
        <n v="20.21"/>
        <n v="21.49"/>
        <n v="13.33"/>
        <n v="15.05"/>
        <n v="13.95"/>
        <n v="5.78"/>
        <n v="6.7"/>
        <n v="7.78"/>
        <n v="14.62"/>
        <n v="14.69"/>
        <n v="14.72"/>
        <n v="18.68"/>
        <n v="14.65"/>
        <n v="8.37"/>
        <n v="8.39"/>
        <n v="8.44"/>
        <n v="22.11"/>
        <n v="33.91"/>
        <n v="5.62"/>
        <n v="6.44"/>
        <n v="47.96"/>
        <n v="5.55"/>
        <n v="20.71"/>
        <n v="21.52"/>
        <n v="6.94"/>
        <n v="7.16"/>
        <n v="6.63"/>
        <n v="6.78"/>
        <n v="7.67"/>
        <n v="7.79"/>
        <n v="34.05"/>
        <n v="8.31"/>
        <n v="10.63"/>
        <n v="23.68"/>
        <n v="19.47"/>
        <n v="6.07"/>
        <n v="9.51"/>
        <n v="23.87"/>
        <n v="24.12"/>
        <n v="23.16"/>
        <n v="12.17"/>
        <n v="15.08"/>
        <n v="11.61"/>
        <n v="7.27"/>
        <n v="9.4"/>
        <n v="11.6"/>
        <n v="5.1"/>
        <n v="11.53"/>
        <n v="7.07"/>
        <n v="13.66"/>
        <n v="10.6"/>
        <n v="6.84"/>
        <n v="10.69"/>
        <n v="6.89"/>
        <n v="10.56"/>
        <n v="6.71"/>
        <n v="12.16"/>
        <n v="11.28"/>
        <n v="11.41"/>
        <n v="7.34"/>
        <n v="6.88"/>
        <n v="8.36"/>
        <n v="9.6"/>
        <n v="10.81"/>
        <n v="7.32"/>
        <n v="10.41"/>
        <n v="7.7"/>
        <n v="6.48"/>
        <n v="5.65"/>
        <n v="7.82"/>
        <n v="7.52"/>
        <n v="9.39"/>
        <n v="7.71"/>
        <n v="9.66"/>
        <n v="7.65"/>
        <n v="13.09"/>
        <n v="6.5"/>
        <n v="9.21"/>
        <n v="5.03"/>
        <n v="32.03"/>
        <n v="10.35"/>
        <n v="11.45"/>
        <n v="7.2"/>
        <n v="7.29"/>
        <n v="7.85"/>
        <n v="11.25"/>
        <n v="13.2"/>
        <n v="6.61"/>
        <n v="5.64"/>
        <n v="7.53"/>
        <n v="8.06"/>
        <n v="8.27"/>
        <n v="8.07"/>
        <n v="6.28"/>
        <n v="7.73"/>
        <n v="7.76"/>
        <n v="9.05"/>
        <n v="15.65"/>
        <n v="15.81"/>
        <n v="7.1"/>
        <n v="8.1"/>
        <n v="6.75"/>
        <n v="8"/>
        <n v="6.92"/>
        <n v="8.52"/>
        <n v="8.69"/>
        <n v="6.54"/>
        <n v="7.49"/>
        <n v="7.54"/>
        <n v="7.64"/>
        <n v="7.56"/>
        <n v="11.75"/>
        <n v="5.5"/>
        <n v="6.18"/>
        <n v="5.38"/>
        <n v="5.88"/>
        <n v="6.47"/>
        <n v="6.56"/>
        <n v="6.1"/>
        <n v="6.49"/>
        <n v="5.97"/>
        <n v="6.19"/>
        <n v="16.36"/>
        <n v="6.52"/>
        <n v="6.64"/>
        <n v="6.17"/>
        <n v="6.24"/>
        <n v="6.12"/>
        <n v="6.3"/>
        <n v="8.66"/>
        <n v="6.14"/>
        <n v="8.7"/>
        <n v="9.33"/>
        <n v="8.88"/>
        <n v="6.38"/>
        <n v="6.57"/>
        <n v="7.83"/>
        <n v="7.94"/>
        <n v="5.07"/>
        <n v="8.2"/>
        <n v="5.21"/>
        <n v="8.18"/>
        <n v="10"/>
        <n v="9.7"/>
        <n v="10.58"/>
        <n v="5.72"/>
        <n v="6.02"/>
        <n v="5.63"/>
        <n v="5.15"/>
        <m/>
      </sharedItems>
    </cacheField>
    <cacheField name="净佣金" numFmtId="0">
      <sharedItems containsString="0" containsBlank="1" containsNumber="1" minValue="0" maxValue="100.53" count="387">
        <n v="0"/>
        <n v="5.99"/>
        <n v="4.32"/>
        <n v="56.11"/>
        <n v="19.15"/>
        <n v="19.49"/>
        <n v="12.65"/>
        <n v="19.3"/>
        <n v="6.26"/>
        <n v="18.8"/>
        <n v="6.27"/>
        <n v="6.24"/>
        <n v="6.19"/>
        <n v="12.33"/>
        <n v="24.46"/>
        <n v="7.78"/>
        <n v="12.09"/>
        <n v="18.43"/>
        <n v="7.85"/>
        <n v="6.14"/>
        <n v="7.46"/>
        <n v="7.59"/>
        <n v="11.92"/>
        <n v="5.93"/>
        <n v="5.87"/>
        <n v="5.92"/>
        <n v="18.12"/>
        <n v="5.3"/>
        <n v="4.11"/>
        <n v="4.2"/>
        <n v="4.96"/>
        <n v="4.92"/>
        <n v="4.36"/>
        <n v="5.81"/>
        <n v="16.71"/>
        <n v="16.89"/>
        <n v="20.2"/>
        <n v="4.27"/>
        <n v="4.29"/>
        <n v="10.45"/>
        <n v="10.87"/>
        <n v="8.56"/>
        <n v="7.73"/>
        <n v="10.39"/>
        <n v="10.38"/>
        <n v="4"/>
        <n v="5.36"/>
        <n v="8.79"/>
        <n v="22.34"/>
        <n v="4.09"/>
        <n v="4.05"/>
        <n v="4.22"/>
        <n v="4.3"/>
        <n v="8.15"/>
        <n v="6.46"/>
        <n v="6.89"/>
        <n v="6.8"/>
        <n v="6.61"/>
        <n v="11.06"/>
        <n v="4.43"/>
        <n v="10.13"/>
        <n v="7.84"/>
        <n v="8.05"/>
        <n v="4.14"/>
        <n v="4.28"/>
        <n v="4.15"/>
        <n v="4.16"/>
        <n v="5.38"/>
        <n v="31.23"/>
        <n v="10.62"/>
        <n v="4.45"/>
        <n v="5.18"/>
        <n v="12.51"/>
        <n v="4.7"/>
        <n v="5.61"/>
        <n v="5.64"/>
        <n v="11.44"/>
        <n v="33.02"/>
        <n v="9.21"/>
        <n v="11.71"/>
        <n v="11.8"/>
        <n v="6.42"/>
        <n v="9.07"/>
        <n v="4.6"/>
        <n v="57.39"/>
        <n v="7.39"/>
        <n v="25.49"/>
        <n v="23.72"/>
        <n v="9.97"/>
        <n v="62.04"/>
        <n v="26.13"/>
        <n v="64.22"/>
        <n v="25.82"/>
        <n v="24.38"/>
        <n v="10.59"/>
        <n v="4.76"/>
        <n v="27.04"/>
        <n v="26.57"/>
        <n v="38.36"/>
        <n v="37.94"/>
        <n v="38.44"/>
        <n v="21.89"/>
        <n v="28.63"/>
        <n v="25.27"/>
        <n v="21.42"/>
        <n v="10.89"/>
        <n v="10.85"/>
        <n v="20.84"/>
        <n v="11.63"/>
        <n v="20.63"/>
        <n v="3.93"/>
        <n v="4.52"/>
        <n v="4.41"/>
        <n v="4.01"/>
        <n v="4.23"/>
        <n v="3.67"/>
        <n v="4.21"/>
        <n v="4.1"/>
        <n v="4.58"/>
        <n v="10"/>
        <n v="8.06"/>
        <n v="4.24"/>
        <n v="9.88"/>
        <n v="9.83"/>
        <n v="21.12"/>
        <n v="100.53"/>
        <n v="15.05"/>
        <n v="6.01"/>
        <n v="5.1"/>
        <n v="9.05"/>
        <n v="8.14"/>
        <n v="4.06"/>
        <n v="5.12"/>
        <n v="4.03"/>
        <n v="9.16"/>
        <n v="9.49"/>
        <n v="4.02"/>
        <n v="10.17"/>
        <n v="41.5"/>
        <n v="11.28"/>
        <n v="4.13"/>
        <n v="9.66"/>
        <n v="19.81"/>
        <n v="13.33"/>
        <n v="90.12"/>
        <n v="4.42"/>
        <n v="20.11"/>
        <n v="8.87"/>
        <n v="4.47"/>
        <n v="20.23"/>
        <n v="30.71"/>
        <n v="39.57"/>
        <n v="40.42"/>
        <n v="8.89"/>
        <n v="19.62"/>
        <n v="17.79"/>
        <n v="8.98"/>
        <n v="8.96"/>
        <n v="9.36"/>
        <n v="60.8"/>
        <n v="15.31"/>
        <n v="4.26"/>
        <n v="4.25"/>
        <n v="22.3"/>
        <n v="5.26"/>
        <n v="8"/>
        <n v="22.86"/>
        <n v="4.46"/>
        <n v="22.47"/>
        <n v="23.78"/>
        <n v="46.25"/>
        <n v="5.13"/>
        <n v="10.1"/>
        <n v="4.65"/>
        <n v="4.72"/>
        <n v="4.71"/>
        <n v="3.85"/>
        <n v="3.78"/>
        <n v="3.8"/>
        <n v="4.51"/>
        <n v="58.76"/>
        <n v="3.99"/>
        <n v="4.33"/>
        <n v="19.18"/>
        <n v="3.75"/>
        <n v="3.72"/>
        <n v="4.84"/>
        <n v="4.31"/>
        <n v="4.37"/>
        <n v="4.38"/>
        <n v="4.18"/>
        <n v="4.56"/>
        <n v="18.96"/>
        <n v="4.08"/>
        <n v="4.12"/>
        <n v="4.54"/>
        <n v="4.39"/>
        <n v="4.79"/>
        <n v="4.07"/>
        <n v="17.98"/>
        <n v="15.29"/>
        <n v="17.3"/>
        <n v="5.98"/>
        <n v="4.66"/>
        <n v="22.28"/>
        <n v="18.75"/>
        <n v="4.53"/>
        <n v="3.59"/>
        <n v="4.35"/>
        <n v="9.93"/>
        <n v="14.63"/>
        <n v="4.55"/>
        <n v="4.48"/>
        <n v="9.96"/>
        <n v="4.34"/>
        <n v="21.85"/>
        <n v="10.2"/>
        <n v="9.91"/>
        <n v="20.48"/>
        <n v="19.24"/>
        <n v="18.93"/>
        <n v="20.15"/>
        <n v="12.26"/>
        <n v="14.12"/>
        <n v="3.9"/>
        <n v="13.08"/>
        <n v="4.5"/>
        <n v="5.22"/>
        <n v="7.3"/>
        <n v="4.49"/>
        <n v="13.7"/>
        <n v="13.77"/>
        <n v="13.8"/>
        <n v="3.97"/>
        <n v="9.86"/>
        <n v="3.96"/>
        <n v="13.73"/>
        <n v="6.52"/>
        <n v="6.53"/>
        <n v="6.57"/>
        <n v="3.94"/>
        <n v="20.73"/>
        <n v="4.91"/>
        <n v="31.79"/>
        <n v="5.01"/>
        <n v="44.96"/>
        <n v="4.77"/>
        <n v="4.74"/>
        <n v="16.12"/>
        <n v="20.18"/>
        <n v="5.4"/>
        <n v="5.58"/>
        <n v="4.73"/>
        <n v="3.98"/>
        <n v="4.83"/>
        <n v="5.47"/>
        <n v="5.57"/>
        <n v="4.57"/>
        <n v="31.92"/>
        <n v="21.77"/>
        <n v="17.91"/>
        <n v="21.95"/>
        <n v="22.18"/>
        <n v="21.29"/>
        <n v="4.04"/>
        <n v="11.41"/>
        <n v="12.41"/>
        <n v="10.02"/>
        <n v="5.65"/>
        <n v="6.7"/>
        <n v="10.01"/>
        <n v="4.4"/>
        <n v="5.14"/>
        <n v="5.04"/>
        <n v="9.75"/>
        <n v="8.73"/>
        <n v="4.17"/>
        <n v="4.88"/>
        <n v="4.19"/>
        <n v="8.8"/>
        <n v="4.93"/>
        <n v="8.7"/>
        <n v="4.8"/>
        <n v="7.03"/>
        <n v="9.28"/>
        <n v="5.28"/>
        <n v="9.38"/>
        <n v="5.25"/>
        <n v="7.91"/>
        <n v="9.35"/>
        <n v="5.23"/>
        <n v="5.49"/>
        <n v="4.62"/>
        <n v="6.44"/>
        <n v="7.72"/>
        <n v="6.33"/>
        <n v="7.94"/>
        <n v="6.28"/>
        <n v="10.19"/>
        <n v="5.05"/>
        <n v="3.71"/>
        <n v="3.64"/>
        <n v="4.59"/>
        <n v="3.66"/>
        <n v="7.58"/>
        <n v="3.6"/>
        <n v="24.94"/>
        <n v="8.53"/>
        <n v="9.41"/>
        <n v="6"/>
        <n v="5.79"/>
        <n v="10.78"/>
        <n v="9.24"/>
        <n v="5.44"/>
        <n v="6.2"/>
        <n v="6.62"/>
        <n v="6.81"/>
        <n v="6.64"/>
        <n v="5.17"/>
        <n v="5.76"/>
        <n v="3.68"/>
        <n v="6.4"/>
        <n v="3.95"/>
        <n v="6.3"/>
        <n v="6.35"/>
        <n v="6.38"/>
        <n v="6.47"/>
        <n v="12.87"/>
        <n v="13.01"/>
        <n v="5.84"/>
        <n v="6.66"/>
        <n v="5.55"/>
        <n v="6.58"/>
        <n v="5.69"/>
        <n v="5.62"/>
        <n v="7.01"/>
        <n v="7.16"/>
        <n v="4.86"/>
        <n v="6.16"/>
        <n v="6.21"/>
        <n v="4.94"/>
        <n v="6.22"/>
        <n v="7.86"/>
        <n v="5.02"/>
        <n v="5.08"/>
        <n v="5.56"/>
        <n v="5.46"/>
        <n v="5.66"/>
        <n v="5.27"/>
        <n v="5.6"/>
        <n v="5.09"/>
        <n v="11.35"/>
        <n v="5.72"/>
        <n v="4.99"/>
        <n v="5.78"/>
        <n v="5.68"/>
        <n v="5.19"/>
        <n v="7.13"/>
        <n v="7.48"/>
        <n v="5.71"/>
        <n v="7.69"/>
        <n v="7.29"/>
        <n v="5.24"/>
        <n v="6.45"/>
        <n v="5.37"/>
        <n v="5.41"/>
        <n v="3.84"/>
        <n v="3.61"/>
        <n v="8.93"/>
        <n v="3.89"/>
        <n v="6.74"/>
        <n v="6.5"/>
        <n v="6.72"/>
        <n v="8.23"/>
        <n v="7.98"/>
        <n v="7.68"/>
        <n v="8.71"/>
        <n v="3.35"/>
        <n v="3.79"/>
        <n v="3.91"/>
        <n v="3.77"/>
        <n v="3.63"/>
        <n v="4.61"/>
        <n v="4.44"/>
        <n v="4.98"/>
        <n v="3.86"/>
        <m/>
      </sharedItems>
    </cacheField>
    <cacheField name="印花税" numFmtId="0">
      <sharedItems containsString="0" containsBlank="1" containsNumber="1" minValue="0" maxValue="139.38" count="292">
        <n v="0"/>
        <n v="5.94"/>
        <n v="18.95"/>
        <n v="19.29"/>
        <n v="19.09"/>
        <n v="18.6"/>
        <n v="6.2"/>
        <n v="24.2"/>
        <n v="7.77"/>
        <n v="6.07"/>
        <n v="18.18"/>
        <n v="5.87"/>
        <n v="7.7"/>
        <n v="14.41"/>
        <n v="17.94"/>
        <n v="12.92"/>
        <n v="10.68"/>
        <n v="8.86"/>
        <n v="12"/>
        <n v="14.16"/>
        <n v="49.2"/>
        <n v="11.04"/>
        <n v="7.66"/>
        <n v="13.06"/>
        <n v="22.11"/>
        <n v="10.61"/>
        <n v="10.95"/>
        <n v="6.73"/>
        <n v="6.54"/>
        <n v="11.23"/>
        <n v="24.65"/>
        <n v="19.59"/>
        <n v="9.64"/>
        <n v="9.44"/>
        <n v="9.51"/>
        <n v="10.51"/>
        <n v="10.44"/>
        <n v="10.86"/>
        <n v="8.16"/>
        <n v="32.5"/>
        <n v="11.46"/>
        <n v="13.75"/>
        <n v="22.44"/>
        <n v="28.75"/>
        <n v="7.15"/>
        <n v="28.52"/>
        <n v="15.6"/>
        <n v="18"/>
        <n v="62.1"/>
        <n v="24.26"/>
        <n v="63.65"/>
        <n v="62.9"/>
        <n v="25.82"/>
        <n v="65.9"/>
        <n v="93.46"/>
        <n v="10.79"/>
        <n v="10.74"/>
        <n v="11.89"/>
        <n v="20"/>
        <n v="9.85"/>
        <n v="20.8"/>
        <n v="8.51"/>
        <n v="10.08"/>
        <n v="9.98"/>
        <n v="95.85"/>
        <n v="9.59"/>
        <n v="9.6"/>
        <n v="10.45"/>
        <n v="18.3"/>
        <n v="41.56"/>
        <n v="43.06"/>
        <n v="10.99"/>
        <n v="51.2"/>
        <n v="18.72"/>
        <n v="9.65"/>
        <n v="20.08"/>
        <n v="40.22"/>
        <n v="20.28"/>
        <n v="139.38"/>
        <n v="40.27"/>
        <n v="10.41"/>
        <n v="10.5"/>
        <n v="10.53"/>
        <n v="10.73"/>
        <n v="63.42"/>
        <n v="10.78"/>
        <n v="21.8"/>
        <n v="11.15"/>
        <n v="7.87"/>
        <n v="98.55"/>
        <n v="41.88"/>
        <n v="17.7"/>
        <n v="17.49"/>
        <n v="13.61"/>
        <n v="13.1"/>
        <n v="13.57"/>
        <n v="18.69"/>
        <n v="14.48"/>
        <n v="17.96"/>
        <n v="20.1"/>
        <n v="10.34"/>
        <n v="10.33"/>
        <n v="10.75"/>
        <n v="10.32"/>
        <n v="10.91"/>
        <n v="10.69"/>
        <n v="9.14"/>
        <n v="13.34"/>
        <n v="13.44"/>
        <n v="9.81"/>
        <n v="11.41"/>
        <n v="10.06"/>
        <n v="19.87"/>
        <n v="11.39"/>
        <n v="13.48"/>
        <n v="24.8"/>
        <n v="19.7"/>
        <n v="7.86"/>
        <n v="18.73"/>
        <n v="15.87"/>
        <n v="18.37"/>
        <n v="5.25"/>
        <n v="5.47"/>
        <n v="5.2"/>
        <n v="7.64"/>
        <n v="9.94"/>
        <n v="9.69"/>
        <n v="9.83"/>
        <n v="19.56"/>
        <n v="9.46"/>
        <n v="20.4"/>
        <n v="19.47"/>
        <n v="13.02"/>
        <n v="19.51"/>
        <n v="12.36"/>
        <n v="12.9"/>
        <n v="18.65"/>
        <n v="13.68"/>
        <n v="13.72"/>
        <n v="13.78"/>
        <n v="21.6"/>
        <n v="13"/>
        <n v="7.33"/>
        <n v="10.17"/>
        <n v="11.64"/>
        <n v="15.1"/>
        <n v="60.27"/>
        <n v="27.01"/>
        <n v="27.24"/>
        <n v="11.85"/>
        <n v="20.37"/>
        <n v="10.39"/>
        <n v="18.14"/>
        <n v="20.76"/>
        <n v="66.82"/>
        <n v="11.28"/>
        <n v="22.4"/>
        <n v="11.31"/>
        <n v="23.1"/>
        <n v="11.4"/>
        <n v="21.88"/>
        <n v="11.14"/>
        <n v="26.8"/>
        <n v="9.58"/>
        <n v="19.58"/>
        <n v="30.69"/>
        <n v="22.15"/>
        <n v="11.56"/>
        <n v="11.34"/>
        <n v="10.98"/>
        <n v="11.2"/>
        <n v="11.01"/>
        <n v="10.54"/>
        <n v="23.46"/>
        <n v="30.33"/>
        <n v="9.48"/>
        <n v="10.37"/>
        <n v="23.2"/>
        <n v="22.8"/>
        <n v="44.05"/>
        <n v="11.66"/>
        <n v="22.08"/>
        <n v="9.36"/>
        <n v="10.35"/>
        <n v="21.65"/>
        <n v="20.09"/>
        <n v="23.88"/>
        <n v="23.25"/>
        <n v="23.67"/>
        <n v="22.18"/>
        <n v="42.27"/>
        <n v="23.61"/>
        <n v="20.9"/>
        <n v="18.08"/>
        <n v="18.35"/>
        <n v="15.42"/>
        <n v="19.33"/>
        <n v="15.63"/>
        <n v="42.24"/>
        <n v="20.97"/>
        <n v="12.93"/>
        <n v="14.55"/>
        <n v="15.22"/>
        <n v="8.08"/>
        <n v="16.24"/>
        <n v="7.44"/>
        <n v="103.33"/>
        <n v="22.91"/>
        <n v="14.58"/>
        <n v="15.7"/>
        <n v="26.2"/>
        <n v="22.5"/>
        <n v="15.2"/>
        <n v="6.38"/>
        <n v="16.74"/>
        <n v="15.05"/>
        <n v="16.53"/>
        <n v="8"/>
        <n v="8.27"/>
        <n v="23.86"/>
        <n v="12.45"/>
        <n v="15.56"/>
        <n v="8.72"/>
        <n v="8.83"/>
        <n v="7.82"/>
        <n v="11.58"/>
        <n v="11.88"/>
        <n v="11.77"/>
        <n v="7.25"/>
        <n v="15.46"/>
        <n v="29.2"/>
        <n v="7.45"/>
        <n v="31.62"/>
        <n v="14.19"/>
        <n v="16.19"/>
        <n v="13.83"/>
        <n v="17.04"/>
        <n v="6.99"/>
        <n v="17.39"/>
        <n v="15.28"/>
        <n v="23.49"/>
        <n v="7.88"/>
        <n v="10.2"/>
        <n v="12.94"/>
        <n v="13.11"/>
        <n v="11.76"/>
        <n v="12.2"/>
        <n v="12.97"/>
        <n v="11.94"/>
        <n v="12.55"/>
        <n v="13.13"/>
        <n v="26.32"/>
        <n v="12.12"/>
        <n v="13.39"/>
        <n v="13.4"/>
        <n v="12.24"/>
        <n v="12.6"/>
        <n v="17.31"/>
        <n v="13.74"/>
        <n v="13.22"/>
        <n v="17.76"/>
        <n v="13.14"/>
        <n v="13.05"/>
        <n v="15.99"/>
        <n v="6.66"/>
        <n v="16.35"/>
        <n v="20.7"/>
        <n v="12.51"/>
        <n v="13.53"/>
        <n v="16.4"/>
        <n v="16.8"/>
        <n v="21.15"/>
        <n v="20.05"/>
        <n v="20.78"/>
        <n v="13.08"/>
        <n v="18.68"/>
        <n v="13.17"/>
        <n v="11.38"/>
        <n v="13.65"/>
        <n v="14.07"/>
        <n v="13.23"/>
        <n v="19.3"/>
        <n v="11.91"/>
        <n v="19.25"/>
        <n v="13.8"/>
        <n v="15.16"/>
        <n v="17.16"/>
        <n v="6.51"/>
        <n v="12.33"/>
        <n v="13.26"/>
        <n v="12.87"/>
        <m/>
      </sharedItems>
    </cacheField>
    <cacheField name="过户费" numFmtId="0">
      <sharedItems containsString="0" containsBlank="1" containsNumber="1" minValue="0" maxValue="4.44" count="65">
        <n v="0"/>
        <n v="1.8"/>
        <n v="0.6"/>
        <n v="1.2"/>
        <n v="2.4"/>
        <n v="0.54"/>
        <n v="0.48"/>
        <n v="0.3"/>
        <n v="0.18"/>
        <n v="0.24"/>
        <n v="3"/>
        <n v="0.45"/>
        <n v="4.44"/>
        <n v="0.8"/>
        <n v="0.72"/>
        <n v="1.22"/>
        <n v="1.5"/>
        <n v="2.7"/>
        <n v="4.2"/>
        <n v="0.78"/>
        <n v="1.18"/>
        <n v="0.21"/>
        <n v="1.27"/>
        <n v="0.22"/>
        <n v="0.43"/>
        <n v="0.44"/>
        <n v="0.16"/>
        <n v="1.97"/>
        <n v="0.9"/>
        <n v="0.42"/>
        <n v="0.84"/>
        <n v="0.39"/>
        <n v="0.35"/>
        <n v="0.25"/>
        <n v="0.26"/>
        <n v="0.37"/>
        <n v="1.14"/>
        <n v="0.29"/>
        <n v="0.36"/>
        <n v="0.4"/>
        <n v="0.2"/>
        <n v="0.23"/>
        <n v="0.27"/>
        <n v="0.38"/>
        <n v="0.34"/>
        <n v="0.5"/>
        <n v="0.19"/>
        <n v="0.28"/>
        <n v="0.15"/>
        <n v="0.41"/>
        <n v="0.14"/>
        <n v="0.13"/>
        <n v="0.82"/>
        <n v="0.31"/>
        <n v="0.62"/>
        <n v="0.87"/>
        <n v="1.34"/>
        <n v="0.46"/>
        <n v="0.47"/>
        <n v="0.85"/>
        <n v="2.06"/>
        <n v="0.12"/>
        <n v="0.65"/>
        <n v="0.53"/>
        <m/>
      </sharedItems>
    </cacheField>
    <cacheField name="结算费" numFmtId="0">
      <sharedItems containsString="0" containsBlank="1" containsNumber="1" containsInteger="1" minValue="0" maxValue="0" count="2">
        <n v="0"/>
        <m/>
      </sharedItems>
    </cacheField>
    <cacheField name="其他费" numFmtId="0">
      <sharedItems containsString="0" containsBlank="1" containsNumber="1" containsInteger="1" minValue="0" maxValue="0" count="2">
        <n v="0"/>
        <m/>
      </sharedItems>
    </cacheField>
    <cacheField name="发生金额" numFmtId="0">
      <sharedItems containsString="0" containsBlank="1" containsNumber="1" minValue="-249987.5" maxValue="250000" count="2037">
        <n v="0"/>
        <n v="-6091.69"/>
        <n v="6091.69"/>
        <n v="200"/>
        <n v="5929.06"/>
        <n v="-177.01"/>
        <n v="-5914.68"/>
        <n v="-1.46"/>
        <n v="-55592.88"/>
        <n v="55592.88"/>
        <n v="18909.6"/>
        <n v="19248.89"/>
        <n v="-12534.97"/>
        <n v="19049.31"/>
        <n v="-6197.41"/>
        <n v="12534.97"/>
        <n v="6197.41"/>
        <n v="-26.56"/>
        <n v="-18883.04"/>
        <n v="-19248.89"/>
        <n v="-17460.95"/>
        <n v="-1588.36"/>
        <n v="18559.14"/>
        <n v="6186.38"/>
        <n v="-6177.39"/>
        <n v="-6137.34"/>
        <n v="6177.39"/>
        <n v="6137.34"/>
        <n v="-10.47"/>
        <n v="-10946.61"/>
        <n v="-11.97"/>
        <n v="-7590.09"/>
        <n v="-4944.88"/>
        <n v="-5.92"/>
        <n v="-1235.58"/>
        <n v="-12214.62"/>
        <n v="12214.62"/>
        <n v="24146.78"/>
        <n v="-7709.07"/>
        <n v="-11974.36"/>
        <n v="11974.36"/>
        <n v="7709.07"/>
        <n v="-3.57"/>
        <n v="-4961.83"/>
        <n v="-4.44"/>
        <n v="-4.41"/>
        <n v="-5.84"/>
        <n v="-6851.96"/>
        <n v="-18261.86"/>
        <n v="7753.08"/>
        <n v="6056.65"/>
        <n v="18261.86"/>
        <n v="-3.84"/>
        <n v="-5362.66"/>
        <n v="-5.52"/>
        <n v="-2381.06"/>
        <n v="-5328.01"/>
        <n v="-8.58"/>
        <n v="-720.06"/>
        <n v="18150.93"/>
        <n v="-11254.3"/>
        <n v="-2.69"/>
        <n v="-6844.13"/>
        <n v="-4.36"/>
        <n v="-7518.86"/>
        <n v="-5947.13"/>
        <n v="5947.13"/>
        <n v="7518.86"/>
        <n v="-11814.18"/>
        <n v="5857.07"/>
        <n v="-5827"/>
        <n v="11814.18"/>
        <n v="5827"/>
        <n v="-5.46"/>
        <n v="-5851.61"/>
        <n v="7683.23"/>
        <n v="-9.31"/>
        <n v="-5566.12"/>
        <n v="-14.39"/>
        <n v="-2093.41"/>
        <n v="14387.78"/>
        <n v="-7.79"/>
        <n v="-5425.45"/>
        <n v="-19.88"/>
        <n v="-36.66"/>
        <n v="-2963.09"/>
        <n v="17900.53"/>
        <n v="12904.08"/>
        <n v="-2.11"/>
        <n v="-8851.09"/>
        <n v="-19.46"/>
        <n v="10663.98"/>
        <n v="8841.66"/>
        <n v="-12087.24"/>
        <n v="11980.8"/>
        <n v="-7140.3"/>
        <n v="14138.16"/>
        <n v="-9998.1"/>
        <n v="-7195.3"/>
        <n v="-19953"/>
        <n v="7.63"/>
        <n v="-16558.79"/>
        <n v="-16728.98"/>
        <n v="49124.4"/>
        <n v="-8145.3"/>
        <n v="-7970.3"/>
        <n v="-10641.69"/>
        <n v="10641.69"/>
        <n v="16558.79"/>
        <n v="16728.98"/>
        <n v="11016.82"/>
        <n v="-17.78"/>
        <n v="-5500"/>
        <n v="500"/>
        <n v="6.58"/>
        <n v="-8479.92"/>
        <n v="8479.92"/>
        <n v="7633.32"/>
        <n v="-517"/>
        <n v="-8.12"/>
        <n v="-7625.2"/>
        <n v="-10301.62"/>
        <n v="-10276.59"/>
        <n v="10301.62"/>
        <n v="10276.59"/>
        <n v="20000"/>
        <n v="-10395.2"/>
        <n v="13039.21"/>
        <n v="-21440.25"/>
        <n v="-0.88"/>
        <n v="-336.84"/>
        <n v="-17.22"/>
        <n v="-221.9"/>
        <n v="22066.03"/>
        <n v="10594.08"/>
        <n v="-2.41"/>
        <n v="-10079.72"/>
        <n v="-19.62"/>
        <n v="-10515.26"/>
        <n v="10933.57"/>
        <n v="-11165.58"/>
        <n v="-8069.47"/>
        <n v="8069.47"/>
        <n v="8000"/>
        <n v="-1.93"/>
        <n v="-6407.64"/>
        <n v="6407.64"/>
        <n v="-6838.11"/>
        <n v="6838.11"/>
        <n v="6715.27"/>
        <n v="-6.12"/>
        <n v="-4.9"/>
        <n v="-296.61"/>
        <n v="6525.67"/>
        <n v="11206.42"/>
        <n v="-1.56"/>
        <n v="-6524.11"/>
        <n v="-17.39"/>
        <n v="-6285.6"/>
        <n v="24613.48"/>
        <n v="-19100.15"/>
        <n v="19560.01"/>
        <n v="-9580.3"/>
        <n v="9620.06"/>
        <n v="-9614.3"/>
        <n v="-8102.18"/>
        <n v="9425.26"/>
        <n v="-9365.3"/>
        <n v="-13106.85"/>
        <n v="-31734.87"/>
        <n v="9495.19"/>
        <n v="-10529.5"/>
        <n v="31734.87"/>
        <n v="10482.63"/>
        <n v="10419.04"/>
        <n v="-7.36"/>
        <n v="-10475.27"/>
        <n v="10843.41"/>
        <n v="8149.66"/>
        <n v="-12627.51"/>
        <n v="-10615.91"/>
        <n v="32451.25"/>
        <n v="-14.79"/>
        <n v="-11653.2"/>
        <n v="-9606.4"/>
        <n v="11437.51"/>
        <n v="-13667.13"/>
        <n v="13724.08"/>
        <n v="-27884.54"/>
        <n v="-32707.74"/>
        <n v="32707.74"/>
        <n v="22405.74"/>
        <n v="-28544.87"/>
        <n v="5.72"/>
        <n v="28706.27"/>
        <n v="7137.25"/>
        <n v="28476.62"/>
        <n v="-28534.86"/>
        <n v="-15.18"/>
        <n v="15576.3"/>
        <n v="-22112.25"/>
        <n v="-4521.24"/>
        <n v="1425"/>
        <n v="-56865.48"/>
        <n v="56865.48"/>
        <n v="17972.55"/>
        <n v="62003.85"/>
        <n v="-8165"/>
        <n v="-92.33"/>
        <n v="-25"/>
        <n v="-12.5"/>
        <n v="-7995"/>
        <n v="-23507.03"/>
        <n v="23507.03"/>
        <n v="24222.41"/>
        <n v="-61470.54"/>
        <n v="61470.54"/>
        <n v="-5.45"/>
        <n v="-553.36"/>
        <n v="-16913.23"/>
        <n v="-6040.44"/>
        <n v="63551.52"/>
        <n v="-63622.91"/>
        <n v="62802.65"/>
        <n v="-24167.75"/>
        <n v="63622.91"/>
        <n v="24167.75"/>
        <n v="-28.52"/>
        <n v="-9000"/>
        <n v="-21942.97"/>
        <n v="-32679.94"/>
        <n v="25780.07"/>
        <n v="-5.61"/>
        <n v="-11817.31"/>
        <n v="703"/>
        <n v="65798.15"/>
        <n v="-64785.38"/>
        <n v="93317.37"/>
        <n v="-94311.43"/>
        <n v="-36"/>
        <n v="-30"/>
        <n v="-45"/>
        <n v="95445.55"/>
        <n v="2.24"/>
        <n v="-21674.42"/>
        <n v="-28355.16"/>
        <n v="-25036.23"/>
        <n v="-21223.92"/>
        <n v="10762.05"/>
        <n v="10712.15"/>
        <n v="-20653.29"/>
        <n v="21674.42"/>
        <n v="28355.16"/>
        <n v="25036.23"/>
        <n v="21223.92"/>
        <n v="20653.29"/>
        <n v="-10762.05"/>
        <n v="-10712.15"/>
        <n v="-11523.26"/>
        <n v="-20433.05"/>
        <n v="20433.05"/>
        <n v="11523.26"/>
        <n v="11872.51"/>
        <n v="-20506.96"/>
        <n v="-5.34"/>
        <n v="-20036.81"/>
        <n v="-11025.6"/>
        <n v="-19156.54"/>
        <n v="-16665.76"/>
        <n v="-8815.6"/>
        <n v="19973.2"/>
        <n v="9834.55"/>
        <n v="-10085.6"/>
        <n v="20772.15"/>
        <n v="-9911.19"/>
        <n v="9911.19"/>
        <n v="-200.22"/>
        <n v="-1791.72"/>
        <n v="-13943.58"/>
        <n v="-8635.98"/>
        <n v="-3983.88"/>
        <n v="-12080.22"/>
        <n v="-0.58"/>
        <n v="-78.94"/>
        <n v="-37.5"/>
        <n v="-7979.37"/>
        <n v="8495.89"/>
        <n v="10064.62"/>
        <n v="7979.37"/>
        <n v="-10039.38"/>
        <n v="-9791.06"/>
        <n v="9959.72"/>
        <n v="9791.06"/>
        <n v="-2916.63"/>
        <n v="-7018.16"/>
        <n v="-77.75"/>
        <n v="-9741"/>
        <n v="95721.44"/>
        <n v="-99612.45"/>
        <n v="-14917.59"/>
        <n v="28294.03"/>
        <n v="9741"/>
        <n v="99612.45"/>
        <n v="14917.59"/>
        <n v="-14205.76"/>
        <n v="-86.96"/>
        <n v="-86.22"/>
        <n v="-66.36"/>
        <n v="-13.8"/>
        <n v="-2.27"/>
        <n v="-24007.44"/>
        <n v="-8960.15"/>
        <n v="8960.15"/>
        <n v="-8064.16"/>
        <n v="9575.11"/>
        <n v="9580.1"/>
        <n v="8064.16"/>
        <n v="-9551.34"/>
        <n v="-9556.31"/>
        <n v="10429.25"/>
        <n v="24082.53"/>
        <n v="-9935.13"/>
        <n v="-64.87"/>
        <n v="-4431.64"/>
        <n v="-5971.27"/>
        <n v="18274.83"/>
        <n v="41504.36"/>
        <n v="43003.77"/>
        <n v="10968.71"/>
        <n v="-41.87"/>
        <n v="-20.76"/>
        <n v="-10.4"/>
        <n v="-7.48"/>
        <n v="-41392.56"/>
        <n v="-18774.2"/>
        <n v="-10086.38"/>
        <n v="-41126.39"/>
        <n v="51131.43"/>
        <n v="18694.28"/>
        <n v="10086.38"/>
        <n v="41126.39"/>
        <n v="-316.27"/>
        <n v="-1381.79"/>
        <n v="-39428.33"/>
        <n v="-9570.82"/>
        <n v="9570.82"/>
        <n v="9630.05"/>
        <n v="-2.22"/>
        <n v="-19622.16"/>
        <n v="62731.93"/>
        <n v="-89290.81"/>
        <n v="19622.16"/>
        <n v="89290.81"/>
        <n v="20053.1"/>
        <n v="-19932.5"/>
        <n v="19932.5"/>
        <n v="-376.92"/>
        <n v="-13.65"/>
        <n v="40166.11"/>
        <n v="20252.83"/>
        <n v="-40057.92"/>
        <n v="-20198.28"/>
        <n v="-20042.62"/>
        <n v="139183.22"/>
        <n v="-39204.28"/>
        <n v="20042.62"/>
        <n v="39204.28"/>
        <n v="-89.4"/>
        <n v="-9.24"/>
        <n v="-28657.69"/>
        <n v="-40045.2"/>
        <n v="40045.2"/>
        <n v="40226.04"/>
        <n v="-6017.65"/>
        <n v="-32094.14"/>
        <n v="-1092.49"/>
        <n v="-913.4"/>
        <n v="-18.18"/>
        <n v="-19441.96"/>
        <n v="19441.96"/>
        <n v="-83725.95"/>
        <n v="42236.91"/>
        <n v="42136.93"/>
        <n v="-9640.3"/>
        <n v="-9335.3"/>
        <n v="-38772.8"/>
        <n v="-59016.03"/>
        <n v="59016.03"/>
        <n v="10394.38"/>
        <n v="10479.29"/>
        <n v="10509.26"/>
        <n v="10709.06"/>
        <n v="-10368.15"/>
        <n v="-10452.8"/>
        <n v="-10482.68"/>
        <n v="-7828.17"/>
        <n v="-2853.71"/>
        <n v="-109.15"/>
        <n v="-5000"/>
        <n v="63335.65"/>
        <n v="10759"/>
        <n v="10843.92"/>
        <n v="-10685.21"/>
        <n v="-10495.21"/>
        <n v="-39.93"/>
        <n v="-27.38"/>
        <n v="-16588.25"/>
        <n v="-21310.78"/>
        <n v="-4210.99"/>
        <n v="-18949.52"/>
        <n v="-10731.67"/>
        <n v="-1707.56"/>
        <n v="-2105.51"/>
        <n v="-21664.23"/>
        <n v="21771"/>
        <n v="11133.63"/>
        <n v="-7768.7"/>
        <n v="21664.23"/>
        <n v="7768.7"/>
        <n v="-22184.82"/>
        <n v="7856.97"/>
        <n v="-21814.41"/>
        <n v="98418.93"/>
        <n v="22184.82"/>
        <n v="21814.41"/>
        <n v="-372.86"/>
        <n v="-21811.96"/>
        <n v="-21397"/>
        <n v="-417.41"/>
        <n v="-1.8"/>
        <n v="-44908.24"/>
        <n v="44908.24"/>
        <n v="-100000"/>
        <n v="-20.84"/>
        <n v="-21237"/>
        <n v="41824.3"/>
        <n v="-19295.37"/>
        <n v="17676.46"/>
        <n v="17466.74"/>
        <n v="-6223"/>
        <n v="6545"/>
        <n v="-12365.25"/>
        <n v="-12992"/>
        <n v="-12835"/>
        <n v="13591.39"/>
        <n v="13081.64"/>
        <n v="13551.43"/>
        <n v="18665.15"/>
        <n v="-57033.81"/>
        <n v="57033.81"/>
        <n v="-14695.29"/>
        <n v="14460.23"/>
        <n v="-17695.83"/>
        <n v="17936.11"/>
        <n v="-16099.03"/>
        <n v="-1788.77"/>
        <n v="18560.57"/>
        <n v="-97.54"/>
        <n v="-18463.03"/>
        <n v="-14105"/>
        <n v="-20682.98"/>
        <n v="-4.8"/>
        <n v="72.5"/>
        <n v="14393.59"/>
        <n v="-50000"/>
        <n v="20073.27"/>
        <n v="10324.45"/>
        <n v="-10150.2"/>
        <n v="10309.46"/>
        <n v="-10570.21"/>
        <n v="10734.03"/>
        <n v="-10220.2"/>
        <n v="-11405.23"/>
        <n v="10304.47"/>
        <n v="10896.87"/>
        <n v="-10605.21"/>
        <n v="10669.1"/>
        <n v="9125.68"/>
        <n v="-9017.18"/>
        <n v="-11965.24"/>
        <n v="-10305.21"/>
        <n v="-10445.21"/>
        <n v="-4975"/>
        <n v="-13185.26"/>
        <n v="13321.39"/>
        <n v="-13165.26"/>
        <n v="-18400.59"/>
        <n v="18400.59"/>
        <n v="13421.29"/>
        <n v="-9865"/>
        <n v="30000"/>
        <n v="-18856.22"/>
        <n v="34.76"/>
        <n v="9794.99"/>
        <n v="11393.36"/>
        <n v="-8815.18"/>
        <n v="-8875.18"/>
        <n v="-17985.93"/>
        <n v="10039.74"/>
        <n v="-42.7"/>
        <n v="-9770.56"/>
        <n v="-8630.03"/>
        <n v="19843.57"/>
        <n v="11368.38"/>
        <n v="13461.25"/>
        <n v="-11294.23"/>
        <n v="-17825.88"/>
        <n v="-13285.27"/>
        <n v="-17705.84"/>
        <n v="-17459.53"/>
        <n v="17459.53"/>
        <n v="-7805"/>
        <n v="-15136.63"/>
        <n v="15136.63"/>
        <n v="-16798.8"/>
        <n v="24767.01"/>
        <n v="-19326.38"/>
        <n v="-20006.2"/>
        <n v="16798.8"/>
        <n v="19673.8"/>
        <n v="7847.14"/>
        <n v="-19006.27"/>
        <n v="-21644.21"/>
        <n v="-18190.35"/>
        <n v="18705.09"/>
        <n v="15849.13"/>
        <n v="21644.21"/>
        <n v="18190.35"/>
        <n v="-28.08"/>
        <n v="-18115.97"/>
        <n v="18345.57"/>
        <n v="-18085.96"/>
        <n v="-9639.78"/>
        <n v="9639.78"/>
        <n v="-14205.89"/>
        <n v="14205.89"/>
        <n v="-5145"/>
        <n v="5239.75"/>
        <n v="-5325"/>
        <n v="5459.53"/>
        <n v="-5035"/>
        <n v="5189.8"/>
        <n v="-7520.15"/>
        <n v="-12445.25"/>
        <n v="-6227"/>
        <n v="6720.27"/>
        <n v="7627.21"/>
        <n v="-13825.85"/>
        <n v="-174.15"/>
        <n v="5000"/>
        <n v="-9660.81"/>
        <n v="9660.81"/>
        <n v="15000"/>
        <n v="9924.86"/>
        <n v="-19536.44"/>
        <n v="-9900.04"/>
        <n v="-9590.73"/>
        <n v="9590.73"/>
        <n v="9675.12"/>
        <n v="-9651.05"/>
        <n v="9919.86"/>
        <n v="-21203.72"/>
        <n v="-9906.08"/>
        <n v="9814.97"/>
        <n v="9906.08"/>
        <n v="21203.72"/>
        <n v="-2093.12"/>
        <n v="-7801.93"/>
        <n v="-1837.85"/>
        <n v="-7952.63"/>
        <n v="-246.89"/>
        <n v="-100.72"/>
        <n v="-9620.76"/>
        <n v="19533.99"/>
        <n v="9445.35"/>
        <n v="-19882.25"/>
        <n v="9620.76"/>
        <n v="19882.25"/>
        <n v="-19481.37"/>
        <n v="-1708.18"/>
        <n v="-7713.79"/>
        <n v="-13.84"/>
        <n v="20377.86"/>
        <n v="-18670.89"/>
        <n v="-18390.58"/>
        <n v="18670.89"/>
        <n v="18390.58"/>
        <n v="-1722.35"/>
        <n v="-18600.61"/>
        <n v="-1876.94"/>
        <n v="-6513.13"/>
        <n v="-8.41"/>
        <n v="-6.52"/>
        <n v="-11.5"/>
        <n v="19444.1"/>
        <n v="-3107.63"/>
        <n v="-16284.1"/>
        <n v="-10.36"/>
        <n v="13001.72"/>
        <n v="-19561.88"/>
        <n v="19484.05"/>
        <n v="19561.88"/>
        <n v="-3633.68"/>
        <n v="-9333.98"/>
        <n v="-2386.79"/>
        <n v="-17044.78"/>
        <n v="-23.57"/>
        <n v="-9.21"/>
        <n v="7.7"/>
        <n v="-12133.33"/>
        <n v="12133.33"/>
        <n v="250"/>
        <n v="-13695.32"/>
        <n v="13695.32"/>
        <n v="12342.64"/>
        <n v="-59.04"/>
        <n v="-7.5"/>
        <n v="-12694.2"/>
        <n v="12881.84"/>
        <n v="12694.2"/>
        <n v="-7464.82"/>
        <n v="-5383.32"/>
        <n v="-338.61"/>
        <n v="18625.2"/>
        <n v="-6885.14"/>
        <n v="-6695.13"/>
        <n v="18695.11"/>
        <n v="13661.05"/>
        <n v="-1281.64"/>
        <n v="-39.64"/>
        <n v="-13065.26"/>
        <n v="13701.01"/>
        <n v="-8822.57"/>
        <n v="-4842.28"/>
        <n v="-370.94"/>
        <n v="-13325.27"/>
        <n v="13760.94"/>
        <n v="-10955"/>
        <n v="-12507.25"/>
        <n v="1500"/>
        <n v="21571.27"/>
        <n v="-1345.8"/>
        <n v="-36.7"/>
        <n v="-349.47"/>
        <n v="12977.74"/>
        <n v="-885.25"/>
        <n v="-500"/>
        <n v="-114.75"/>
        <n v="6.56"/>
        <n v="-12965.26"/>
        <n v="-7077.92"/>
        <n v="7077.92"/>
        <n v="7317.52"/>
        <n v="-1.64"/>
        <n v="-934.25"/>
        <n v="-180"/>
        <n v="-65.75"/>
        <n v="5878.53"/>
        <n v="-5871.17"/>
        <n v="10154.63"/>
        <n v="-75"/>
        <n v="-13304.89"/>
        <n v="13304.89"/>
        <n v="-13364.96"/>
        <n v="-13394.99"/>
        <n v="13364.96"/>
        <n v="13394.99"/>
        <n v="-9677"/>
        <n v="9820"/>
        <n v="-9849.2"/>
        <n v="8475.74"/>
        <n v="1000"/>
        <n v="-9250"/>
        <n v="11623.36"/>
        <n v="29000"/>
        <n v="-40845.48"/>
        <n v="15079.6"/>
        <n v="-482.37"/>
        <n v="-4.51"/>
        <n v="-344.16"/>
        <n v="-55.99"/>
        <n v="-1000"/>
        <n v="-738.2"/>
        <n v="-129.72"/>
        <n v="60194.05"/>
        <n v="-12566.69"/>
        <n v="-14.56"/>
        <n v="-127.45"/>
        <n v="-127.1"/>
        <n v="-13565.27"/>
        <n v="7000"/>
        <n v="-13334.92"/>
        <n v="13334.92"/>
        <n v="5.59"/>
        <n v="-30000"/>
        <n v="26964.08"/>
        <n v="-27068.93"/>
        <n v="-111.97"/>
        <n v="27203.78"/>
        <n v="-11735"/>
        <n v="-15543.31"/>
        <n v="11833.15"/>
        <n v="-20122.51"/>
        <n v="20122.51"/>
        <n v="20342.91"/>
        <n v="-18.67"/>
        <n v="-3364.73"/>
        <n v="-30859.53"/>
        <n v="10374.4"/>
        <n v="30859.53"/>
        <n v="-10348.13"/>
        <n v="18110.88"/>
        <n v="20732.38"/>
        <n v="-4.76"/>
        <n v="-20511.4"/>
        <n v="-43648.83"/>
        <n v="43648.83"/>
        <n v="-17993.28"/>
        <n v="17894.45"/>
        <n v="-9985.9"/>
        <n v="66727.13"/>
        <n v="-182.19"/>
        <n v="5.51"/>
        <n v="-31000"/>
        <n v="10000"/>
        <n v="10000.9"/>
        <n v="11.19"/>
        <n v="-11075"/>
        <n v="-19581.91"/>
        <n v="19581.91"/>
        <n v="-150.34"/>
        <n v="-18.16"/>
        <n v="-19431.57"/>
        <n v="11263.72"/>
        <n v="-2.5"/>
        <n v="-11165"/>
        <n v="22370.21"/>
        <n v="11293.69"/>
        <n v="23069.28"/>
        <n v="-21406.63"/>
        <n v="-11195"/>
        <n v="11383.6"/>
        <n v="21851.34"/>
        <n v="-11285"/>
        <n v="11123.86"/>
        <n v="-24757.67"/>
        <n v="-25147.79"/>
        <n v="16.59"/>
        <n v="-4789"/>
        <n v="-30984.67"/>
        <n v="30984.67"/>
        <n v="282.5"/>
        <n v="26764.35"/>
        <n v="-577.79"/>
        <n v="-122.21"/>
        <n v="-26692.26"/>
        <n v="-9678.82"/>
        <n v="9560.23"/>
        <n v="9678.82"/>
        <n v="-9536.5"/>
        <n v="-19325.99"/>
        <n v="-481.94"/>
        <n v="-18.06"/>
        <n v="-21548.68"/>
        <n v="-17719.47"/>
        <n v="21548.68"/>
        <n v="17719.47"/>
        <n v="19546.35"/>
        <n v="-20318.17"/>
        <n v="1.47"/>
        <n v="30649.8"/>
        <n v="-10960.22"/>
        <n v="-21723.87"/>
        <n v="21723.87"/>
        <n v="-94.53"/>
        <n v="-23.25"/>
        <n v="22120.98"/>
        <n v="-21949.12"/>
        <n v="21949.12"/>
        <n v="-512.72"/>
        <n v="-165"/>
        <n v="-21073.16"/>
        <n v="21073.16"/>
        <n v="1200"/>
        <n v="-2852.75"/>
        <n v="-47.25"/>
        <n v="11543.21"/>
        <n v="-142.32"/>
        <n v="-2.26"/>
        <n v="-50"/>
        <n v="-11233.22"/>
        <n v="11313.43"/>
        <n v="-11250.22"/>
        <n v="10959.8"/>
        <n v="-10805"/>
        <n v="-11077.39"/>
        <n v="11077.39"/>
        <n v="11178.58"/>
        <n v="-298.92"/>
        <n v="-1.08"/>
        <n v="-2.57"/>
        <n v="10992.77"/>
        <n v="-10847.22"/>
        <n v="10514.25"/>
        <n v="-81.01"/>
        <n v="-0.16"/>
        <n v="-9720.83"/>
        <n v="-198"/>
        <n v="-30165.08"/>
        <n v="-23232.07"/>
        <n v="23232.07"/>
        <n v="30165.08"/>
        <n v="23428.8"/>
        <n v="-5.39"/>
        <n v="30290.27"/>
        <n v="-981.32"/>
        <n v="-18.68"/>
        <n v="-14"/>
        <n v="-5"/>
        <n v="-9555"/>
        <n v="9555"/>
        <n v="5615.6"/>
        <n v="9465.52"/>
        <n v="-23202.06"/>
        <n v="23202.06"/>
        <n v="-80.48"/>
        <n v="-19.52"/>
        <n v="-9442.08"/>
        <n v="-5597.58"/>
        <n v="-2.42"/>
        <n v="-10200.3"/>
        <n v="10200.3"/>
        <n v="10354.42"/>
        <n v="-192.16"/>
        <n v="-7.84"/>
        <n v="-2.37"/>
        <n v="23169.61"/>
        <n v="-4638.78"/>
        <n v="-18468.42"/>
        <n v="-23061.53"/>
        <n v="22770.13"/>
        <n v="23061.53"/>
        <n v="-3480.7"/>
        <n v="-19228.1"/>
        <n v="-147.43"/>
        <n v="43992.29"/>
        <n v="11638.34"/>
        <n v="-148.6"/>
        <n v="-276.42"/>
        <n v="-72.19"/>
        <n v="-40.73"/>
        <n v="-2.79"/>
        <n v="-6.67"/>
        <n v="-72.27"/>
        <n v="-35.33"/>
        <n v="-1845.06"/>
        <n v="-32.1"/>
        <n v="-21210.6"/>
        <n v="21210.6"/>
        <n v="-9280"/>
        <n v="9280"/>
        <n v="-6.94"/>
        <n v="2.23"/>
        <n v="9460.52"/>
        <n v="22051.08"/>
        <n v="-10745.21"/>
        <n v="-750.36"/>
        <n v="-30.72"/>
        <n v="-9437.09"/>
        <n v="-9.84"/>
        <n v="-9225"/>
        <n v="9225"/>
        <n v="9340.64"/>
        <n v="-117.91"/>
        <n v="-9199.66"/>
        <n v="-28.98"/>
        <n v="10334.44"/>
        <n v="-21385.69"/>
        <n v="-22236.89"/>
        <n v="21385.69"/>
        <n v="-21135.56"/>
        <n v="21135.56"/>
        <n v="21621.64"/>
        <n v="-9560"/>
        <n v="9560"/>
        <n v="-177.71"/>
        <n v="-59.52"/>
        <n v="-24332.16"/>
        <n v="20063.68"/>
        <n v="-17078.54"/>
        <n v="24332.16"/>
        <n v="17078.54"/>
        <n v="-80.34"/>
        <n v="-13.23"/>
        <n v="-42.8"/>
        <n v="-6.66"/>
        <n v="-22561.28"/>
        <n v="22561.28"/>
        <n v="-161.45"/>
        <n v="-107.34"/>
        <n v="-50.77"/>
        <n v="-35.64"/>
        <n v="-41.85"/>
        <n v="23843.72"/>
        <n v="-20957.85"/>
        <n v="-2821.64"/>
        <n v="-9.72"/>
        <n v="-22836.41"/>
        <n v="22836.41"/>
        <n v="23219.54"/>
        <n v="23638.99"/>
        <n v="-90"/>
        <n v="22150.94"/>
        <n v="-16718.36"/>
        <n v="-19209.6"/>
        <n v="16718.36"/>
        <n v="19209.6"/>
        <n v="-22091.28"/>
        <n v="-21635.81"/>
        <n v="42194.63"/>
        <n v="23579.07"/>
        <n v="-20835.41"/>
        <n v="21635.81"/>
        <n v="20835.41"/>
        <n v="-19739.64"/>
        <n v="-22341.36"/>
        <n v="-42.53"/>
        <n v="-24847.7"/>
        <n v="20872.62"/>
        <n v="-17895.55"/>
        <n v="-495.05"/>
        <n v="-20321.35"/>
        <n v="-32.23"/>
        <n v="18056.32"/>
        <n v="-18007.68"/>
        <n v="-18215.65"/>
        <n v="18325.96"/>
        <n v="-1201.92"/>
        <n v="-44.86"/>
        <n v="-161.46"/>
        <n v="-46.85"/>
        <n v="-122.76"/>
        <n v="-97"/>
        <n v="-25.51"/>
        <n v="-106.29"/>
        <n v="-15637.82"/>
        <n v="15637.82"/>
        <n v="12.07"/>
        <n v="-156.26"/>
        <n v="-15.6"/>
        <n v="-118.8"/>
        <n v="-116.4"/>
        <n v="-9.04"/>
        <n v="-144.94"/>
        <n v="-108.86"/>
        <n v="-15037.52"/>
        <n v="15037.52"/>
        <n v="-18784.39"/>
        <n v="15396.87"/>
        <n v="18784.39"/>
        <n v="-104.17"/>
        <n v="-15254.15"/>
        <n v="19296.01"/>
        <n v="-15307.65"/>
        <n v="15307.65"/>
        <n v="-3.34"/>
        <n v="-7190.88"/>
        <n v="-11.44"/>
        <n v="-2240.88"/>
        <n v="-87.12"/>
        <n v="-9714.03"/>
        <n v="-13.68"/>
        <n v="-116.39"/>
        <n v="-87.24"/>
        <n v="-43.59"/>
        <n v="-28.4"/>
        <n v="15606.55"/>
        <n v="-15.39"/>
        <n v="-7364.51"/>
        <n v="-34.92"/>
        <n v="-8152.66"/>
        <n v="42183.82"/>
        <n v="20942.11"/>
        <n v="-14135"/>
        <n v="12912.07"/>
        <n v="-8565.7"/>
        <n v="-31.82"/>
        <n v="-1314.46"/>
        <n v="-7.54"/>
        <n v="-19959.69"/>
        <n v="-120.79"/>
        <n v="-0.2"/>
        <n v="-94.34"/>
        <n v="-90.74"/>
        <n v="-113.32"/>
        <n v="-92.3"/>
        <n v="-53.25"/>
        <n v="-19566.06"/>
        <n v="-14115"/>
        <n v="14540.45"/>
        <n v="-15277"/>
        <n v="-197.37"/>
        <n v="-2.63"/>
        <n v="20732.8"/>
        <n v="15195.78"/>
        <n v="-10130"/>
        <n v="-10220"/>
        <n v="12.76"/>
        <n v="-3.33"/>
        <n v="-123.36"/>
        <n v="-118.65"/>
        <n v="-148.18"/>
        <n v="-120.7"/>
        <n v="-18434.21"/>
        <n v="18434.21"/>
        <n v="-678.35"/>
        <n v="-3.65"/>
        <n v="-34.54"/>
        <n v="-83.46"/>
        <n v="-12974.66"/>
        <n v="-25.34"/>
        <n v="-0.61"/>
        <n v="-108.18"/>
        <n v="-135.12"/>
        <n v="-110.05"/>
        <n v="-81.29"/>
        <n v="-17.08"/>
        <n v="-97.71"/>
        <n v="-122.04"/>
        <n v="-99.4"/>
        <n v="-119.79"/>
        <n v="-7755"/>
        <n v="7755"/>
        <n v="8061.92"/>
        <n v="-78.45"/>
        <n v="-7964.24"/>
        <n v="150"/>
        <n v="-7795"/>
        <n v="7795"/>
        <n v="-187.45"/>
        <n v="-12.55"/>
        <n v="16218.73"/>
        <n v="-15125"/>
        <n v="7427.56"/>
        <n v="-9.88"/>
        <n v="-7400.36"/>
        <n v="4.63"/>
        <n v="-4.5"/>
        <n v="-117.15"/>
        <n v="-141.19"/>
        <n v="-20.13"/>
        <n v="-28.8"/>
        <n v="-23.52"/>
        <n v="-115.37"/>
        <n v="290"/>
        <n v="-128.36"/>
        <n v="-18.3"/>
        <n v="-54"/>
        <n v="-54.3"/>
        <n v="-104.7"/>
        <n v="-22.5"/>
        <n v="-106.69"/>
        <n v="3133.96"/>
        <n v="-72.73"/>
        <n v="-3410.27"/>
        <n v="1320"/>
        <n v="-34.81"/>
        <n v="-1285.19"/>
        <n v="-0.31"/>
        <n v="103182.58"/>
        <n v="-60.27"/>
        <n v="-3122.31"/>
        <n v="-20710.35"/>
        <n v="20710.35"/>
        <n v="0.3"/>
        <n v="-0.3"/>
        <n v="22865.64"/>
        <n v="-14407.2"/>
        <n v="14553.13"/>
        <n v="14407.2"/>
        <n v="-212.39"/>
        <n v="-213.55"/>
        <n v="-411.79"/>
        <n v="-6420.57"/>
        <n v="-8616.95"/>
        <n v="-88.5"/>
        <n v="-3232.34"/>
        <n v="-418.9"/>
        <n v="-2160"/>
        <n v="-15597.8"/>
        <n v="15597.8"/>
        <n v="-15.25"/>
        <n v="-73.53"/>
        <n v="-14082.04"/>
        <n v="15676.45"/>
        <n v="14082.04"/>
        <n v="-3.05"/>
        <n v="-13147.65"/>
        <n v="-366.67"/>
        <n v="-2119.73"/>
        <n v="26160.7"/>
        <n v="22466.25"/>
        <n v="-26413.2"/>
        <n v="-13231.61"/>
        <n v="26413.2"/>
        <n v="13231.61"/>
        <n v="-18.36"/>
        <n v="-13187.92"/>
        <n v="-345.71"/>
        <n v="-12543.21"/>
        <n v="-8167.14"/>
        <n v="-207.07"/>
        <n v="-10616.44"/>
        <n v="-40.08"/>
        <n v="-3379.27"/>
        <n v="-15.36"/>
        <n v="-134.64"/>
        <n v="15179.5"/>
        <n v="0.31"/>
        <n v="-42.99"/>
        <n v="-94.02"/>
        <n v="-115.84"/>
        <n v="-94.79"/>
        <n v="-140.96"/>
        <n v="-70.61"/>
        <n v="-2000"/>
        <n v="-73.33"/>
        <n v="-17.69"/>
        <n v="-104.97"/>
        <n v="-177.73"/>
        <n v="-89.03"/>
        <n v="-83.43"/>
        <n v="-119.44"/>
        <n v="-107.85"/>
        <n v="-202.23"/>
        <n v="-101.3"/>
        <n v="-6181.12"/>
        <n v="6372.49"/>
        <n v="18156.18"/>
        <n v="16714.89"/>
        <n v="-37.93"/>
        <n v="-10893.29"/>
        <n v="-9.15"/>
        <n v="-2628.62"/>
        <n v="-3049.75"/>
        <n v="9.28"/>
        <n v="-37.83"/>
        <n v="-91.52"/>
        <n v="-171.6"/>
        <n v="-85.96"/>
        <n v="-2.91"/>
        <n v="-1997.09"/>
        <n v="15027.42"/>
        <n v="-7.34"/>
        <n v="-10550.96"/>
        <n v="-13.07"/>
        <n v="-4418.43"/>
        <n v="-16118.06"/>
        <n v="16118.06"/>
        <n v="16505.2"/>
        <n v="-47.04"/>
        <n v="-9663.61"/>
        <n v="-153.21"/>
        <n v="-6600.02"/>
        <n v="-8710"/>
        <n v="-23"/>
        <n v="-92.1"/>
        <n v="-93.5"/>
        <n v="-16148.07"/>
        <n v="16148.07"/>
        <n v="-7925.16"/>
        <n v="7925.16"/>
        <n v="-12556.28"/>
        <n v="12556.28"/>
        <n v="-7890"/>
        <n v="-11189"/>
        <n v="7890"/>
        <n v="-142.54"/>
        <n v="-95.16"/>
        <n v="-115.93"/>
        <n v="-104.95"/>
        <n v="-49.67"/>
        <n v="-40.74"/>
        <n v="440"/>
        <n v="100"/>
        <n v="8.59"/>
        <n v="-115.94"/>
        <n v="-116.21"/>
        <n v="-57.03"/>
        <n v="-90.22"/>
        <n v="-56.73"/>
        <n v="-142.6"/>
        <n v="-68.63"/>
        <n v="7987"/>
        <n v="-104.72"/>
        <n v="-7863.28"/>
        <n v="-1.91"/>
        <n v="-108.71"/>
        <n v="-53.36"/>
        <n v="-55.02"/>
        <n v="-7825"/>
        <n v="7825"/>
        <n v="630"/>
        <n v="8251.73"/>
        <n v="-17.21"/>
        <n v="-8214.62"/>
        <n v="-0.01"/>
        <n v="-40.16"/>
        <n v="-37.48"/>
        <n v="-561.35"/>
        <n v="-7800"/>
        <n v="7800"/>
        <n v="5610"/>
        <n v="-36.19"/>
        <n v="-5573.81"/>
        <n v="23824.26"/>
        <n v="12438.55"/>
        <n v="-14835"/>
        <n v="-27.84"/>
        <n v="-58.88"/>
        <n v="-122.49"/>
        <n v="-111.63"/>
        <n v="-280.51"/>
        <n v="-213.81"/>
        <n v="-54.34"/>
        <n v="-27.15"/>
        <n v="15536.66"/>
        <n v="-2.32"/>
        <n v="-10012.91"/>
        <n v="-1.84"/>
        <n v="-5480.69"/>
        <n v="8706.28"/>
        <n v="-11655"/>
        <n v="-6.25"/>
        <n v="-2444.47"/>
        <n v="-6199.48"/>
        <n v="8811.17"/>
        <n v="-1.47"/>
        <n v="-6356.8"/>
        <n v="-23.79"/>
        <n v="-2407.63"/>
        <n v="7802.02"/>
        <n v="-11.43"/>
        <n v="-4988.57"/>
        <n v="11557.63"/>
        <n v="11858.12"/>
        <n v="-11605"/>
        <n v="-7300.15"/>
        <n v="7300.15"/>
        <n v="-0.56"/>
        <n v="-493.8"/>
        <n v="-124.16"/>
        <n v="-10910.17"/>
        <n v="11758.23"/>
        <n v="7242.6"/>
        <n v="-2.07"/>
        <n v="-7223.75"/>
        <n v="6.33"/>
        <n v="-1.17"/>
        <n v="-95.17"/>
        <n v="-56.15"/>
        <n v="-56.11"/>
        <n v="-6.76"/>
        <n v="-8005"/>
        <n v="-7700"/>
        <n v="-10.92"/>
        <n v="-85.95"/>
        <n v="-50.74"/>
        <n v="-50.67"/>
        <n v="-47.37"/>
        <n v="-15347.67"/>
        <n v="15347.67"/>
        <n v="-13746.87"/>
        <n v="-7280"/>
        <n v="13746.87"/>
        <n v="7280"/>
        <n v="250000"/>
        <n v="15426.81"/>
        <n v="-15527.76"/>
        <n v="15527.76"/>
        <n v="-8.97"/>
        <n v="-1679.26"/>
        <n v="-41.67"/>
        <n v="-356.08"/>
        <n v="29161.75"/>
        <n v="-249987.5"/>
        <n v="7432.55"/>
        <n v="-7401.37"/>
        <n v="-0.04"/>
        <n v="-59.73"/>
        <n v="-55.82"/>
        <n v="-85.44"/>
        <n v="-44.66"/>
        <n v="-23.66"/>
        <n v="-31315.65"/>
        <n v="31315.65"/>
        <n v="31572.57"/>
        <n v="14168.71"/>
        <n v="-0.11"/>
        <n v="-67.55"/>
        <n v="-10.86"/>
        <n v="-10.15"/>
        <n v="-21.36"/>
        <n v="-19.14"/>
        <n v="-916.53"/>
        <n v="-12830.34"/>
        <n v="-10.14"/>
        <n v="-1292.76"/>
        <n v="-6.6"/>
        <n v="17.04"/>
        <n v="16165.71"/>
        <n v="-16.68"/>
        <n v="-5987.24"/>
        <n v="-64.8"/>
        <n v="-10056.52"/>
        <n v="-28000"/>
        <n v="-13506.75"/>
        <n v="13506.75"/>
        <n v="-15998"/>
        <n v="-6466.13"/>
        <n v="15998"/>
        <n v="13809.25"/>
        <n v="-8.89"/>
        <n v="-5471.24"/>
        <n v="-181.54"/>
        <n v="-8113.01"/>
        <n v="-13.2"/>
        <n v="22.3"/>
        <n v="-26.9"/>
        <n v="-31.31"/>
        <n v="-29.68"/>
        <n v="-13686.84"/>
        <n v="13686.84"/>
        <n v="-48.42"/>
        <n v="-151.58"/>
        <n v="17014.44"/>
        <n v="-21.4"/>
        <n v="-16950.44"/>
        <n v="6981.87"/>
        <n v="-6797"/>
        <n v="-4.25"/>
        <n v="-195.75"/>
        <n v="17353.92"/>
        <n v="-2.74"/>
        <n v="-5904.87"/>
        <n v="-56.37"/>
        <n v="-11346.5"/>
        <n v="7631.36"/>
        <n v="-7610.15"/>
        <n v="-55.5"/>
        <n v="-1.96"/>
        <n v="-43.1"/>
        <n v="-13086.54"/>
        <n v="13086.54"/>
        <n v="-11825.91"/>
        <n v="-14987.49"/>
        <n v="11825.91"/>
        <n v="14987.49"/>
        <n v="-15077.54"/>
        <n v="15257.08"/>
        <n v="-12006"/>
        <n v="-15127.56"/>
        <n v="15077.54"/>
        <n v="12006"/>
        <n v="15127.56"/>
        <n v="-7.33"/>
        <n v="-2104.75"/>
        <n v="-127.56"/>
        <n v="-12979.14"/>
        <n v="15436.81"/>
        <n v="-0.7"/>
        <n v="-3018.86"/>
        <n v="-133.22"/>
        <n v="-12245.38"/>
        <n v="-7855"/>
        <n v="7855"/>
        <n v="23454.76"/>
        <n v="-70"/>
        <n v="-1.33"/>
        <n v="-1441.46"/>
        <n v="-54.67"/>
        <n v="-19.19"/>
        <n v="-8792.85"/>
        <n v="-19109.55"/>
        <n v="12431.32"/>
        <n v="19109.55"/>
        <n v="-1.38"/>
        <n v="-63.62"/>
        <n v="-2899.44"/>
        <n v="-9469.45"/>
        <n v="7862.12"/>
        <n v="10974.51"/>
        <n v="-2.56"/>
        <n v="-5518.04"/>
        <n v="-31.49"/>
        <n v="-2291.4"/>
        <n v="-10947.04"/>
        <n v="-1.28"/>
        <n v="-69.72"/>
        <n v="-0.29"/>
        <n v="-12216.11"/>
        <n v="12341.46"/>
        <n v="12216.11"/>
        <n v="-3.4"/>
        <n v="-1769.38"/>
        <n v="-58.41"/>
        <n v="-10479.27"/>
        <n v="-10755.38"/>
        <n v="10755.38"/>
        <n v="10184.7"/>
        <n v="-4.57"/>
        <n v="-1526.73"/>
        <n v="-119.34"/>
        <n v="-8508.56"/>
        <n v="-11975.99"/>
        <n v="11975.99"/>
        <n v="0.04"/>
        <n v="-6.54"/>
        <n v="12004.23"/>
        <n v="-11765.88"/>
        <n v="11765.88"/>
        <n v="-11265"/>
        <n v="-58.08"/>
        <n v="-134.69"/>
        <n v="-305.68"/>
        <n v="-155.73"/>
        <n v="-85.05"/>
        <n v="-12906.71"/>
        <n v="12906.71"/>
        <n v="9723.11"/>
        <n v="20073.67"/>
        <n v="-26000"/>
        <n v="-23.07"/>
        <n v="-2976.93"/>
        <n v="-11585.79"/>
        <n v="11585.79"/>
        <n v="12920.33"/>
        <n v="-11.78"/>
        <n v="-3642.07"/>
        <n v="-52.79"/>
        <n v="-128.48"/>
        <n v="-1197.86"/>
        <n v="-4.15"/>
        <n v="-84.95"/>
        <n v="-96.83"/>
        <n v="-177.9"/>
        <n v="-98.28"/>
        <n v="-83.77"/>
        <n v="-24.2"/>
        <n v="-12666.58"/>
        <n v="12666.58"/>
        <n v="13090.07"/>
        <n v="-53.97"/>
        <n v="-13003.33"/>
        <n v="11742.36"/>
        <n v="12183.46"/>
        <n v="-12876.7"/>
        <n v="12876.7"/>
        <n v="-1.14"/>
        <n v="-4908.36"/>
        <n v="-6763.82"/>
        <n v="12950.28"/>
        <n v="-2.84"/>
        <n v="-1.26"/>
        <n v="-5452.29"/>
        <n v="-37.37"/>
        <n v="-7424.1"/>
        <n v="11922.09"/>
        <n v="-11993.23"/>
        <n v="-300"/>
        <n v="-8.49"/>
        <n v="-3331.28"/>
        <n v="-50.04"/>
        <n v="-8500.11"/>
        <n v="1463"/>
        <n v="-12381.19"/>
        <n v="12381.19"/>
        <n v="-32737.01"/>
        <n v="-11980.99"/>
        <n v="32737.01"/>
        <n v="11980.99"/>
        <n v="-13076.8"/>
        <n v="12531.17"/>
        <n v="13076.8"/>
        <n v="-5.91"/>
        <n v="-3175.88"/>
        <n v="-70.98"/>
        <n v="-9247.03"/>
        <n v="13105.31"/>
        <n v="-13046.78"/>
        <n v="13046.78"/>
        <n v="-2518.85"/>
        <n v="-80.77"/>
        <n v="-10472.29"/>
        <n v="-1800"/>
        <n v="26279.99"/>
        <n v="-2434.42"/>
        <n v="-75.28"/>
        <n v="-61.74"/>
        <n v="-12056.4"/>
        <n v="2.64"/>
        <n v="-13286.91"/>
        <n v="13286.91"/>
        <n v="-0.28"/>
        <n v="-47.82"/>
        <n v="-21.25"/>
        <n v="12101.82"/>
        <n v="-610.18"/>
        <n v="-5.97"/>
        <n v="-11454.99"/>
        <n v="13369.64"/>
        <n v="12338.83"/>
        <n v="-0.33"/>
        <n v="-1421.71"/>
        <n v="-18.93"/>
        <n v="-11895.2"/>
        <n v="125"/>
        <n v="12479.76"/>
        <n v="13379.63"/>
        <n v="-0.78"/>
        <n v="-485.99"/>
        <n v="-151.83"/>
        <n v="-12707.53"/>
        <n v="12221.4"/>
        <n v="12581.1"/>
        <n v="-13.95"/>
        <n v="-12535.65"/>
        <n v="2261"/>
        <n v="-11982.23"/>
        <n v="-17048.52"/>
        <n v="17048.52"/>
        <n v="17284.03"/>
        <n v="-6.96"/>
        <n v="-7493.83"/>
        <n v="-75.06"/>
        <n v="-9664.91"/>
        <n v="-3"/>
        <n v="-12976.75"/>
        <n v="12976.75"/>
        <n v="13719.12"/>
        <n v="-3.23"/>
        <n v="-2316.08"/>
        <n v="-84.63"/>
        <n v="-11280.83"/>
        <n v="-12996.76"/>
        <n v="12996.76"/>
        <n v="-12276.14"/>
        <n v="-17408.7"/>
        <n v="12276.14"/>
        <n v="17408.7"/>
        <n v="18152.73"/>
        <n v="13199.91"/>
        <n v="12880.65"/>
        <n v="-485.05"/>
        <n v="-103.07"/>
        <n v="-99.93"/>
        <n v="-4341.65"/>
        <n v="-8705.13"/>
        <n v="-95.49"/>
        <n v="-4366.24"/>
        <n v="-8920.67"/>
        <n v="-84.68"/>
        <n v="-80.09"/>
        <n v="-3762.96"/>
        <n v="-3.29"/>
        <n v="-2.21"/>
        <n v="-67.74"/>
        <n v="-59.27"/>
        <n v="-39.13"/>
        <n v="-15.06"/>
        <n v="-11.39"/>
        <n v="-16.16"/>
        <n v="-35.7"/>
        <n v="-12366.18"/>
        <n v="-18669.33"/>
        <n v="12366.18"/>
        <n v="18669.33"/>
        <n v="17733.36"/>
        <n v="-22.65"/>
        <n v="-15.47"/>
        <n v="-9523.95"/>
        <n v="-27.66"/>
        <n v="-8076.58"/>
        <n v="-12756.38"/>
        <n v="12756.38"/>
        <n v="-79.63"/>
        <n v="-49.92"/>
        <n v="-93.31"/>
        <n v="-93.35"/>
        <n v="-88.31"/>
        <n v="-125.24"/>
        <n v="-80.36"/>
        <n v="-121.24"/>
        <n v="-2.96"/>
        <n v="7500"/>
        <n v="13120.29"/>
        <n v="-37"/>
        <n v="-22.88"/>
        <n v="-8971.94"/>
        <n v="-33.11"/>
        <n v="-3985.51"/>
        <n v="-10.23"/>
        <n v="-6.27"/>
        <n v="-5973.27"/>
        <n v="-12726.36"/>
        <n v="12726.36"/>
        <n v="-15667.83"/>
        <n v="15667.83"/>
        <n v="13030.42"/>
        <n v="15966.01"/>
        <n v="-3.5"/>
        <n v="-3017.97"/>
        <n v="-57.22"/>
        <n v="-9885.75"/>
        <n v="-3111.01"/>
        <n v="-54.12"/>
        <n v="-76.76"/>
        <n v="-408.01"/>
        <n v="-13087.44"/>
        <n v="-71.4"/>
        <n v="21.86"/>
        <n v="-29.36"/>
        <n v="-8.19"/>
        <n v="-3913.25"/>
        <n v="-8937.28"/>
        <n v="-3.35"/>
        <n v="-0.8"/>
        <n v="-125.57"/>
        <n v="-85.84"/>
        <n v="-35.4"/>
        <n v="-39.94"/>
        <n v="-14.75"/>
        <n v="-3000"/>
        <n v="13121.86"/>
        <n v="-105.4"/>
        <n v="-25.52"/>
        <n v="-138.56"/>
        <n v="-94.71"/>
        <n v="-94.41"/>
        <n v="-116.23"/>
        <n v="-76.71"/>
        <n v="-2.95"/>
        <n v="1099"/>
        <n v="-6.75"/>
        <n v="-1.6"/>
        <n v="-1184.9"/>
        <n v="-15397.7"/>
        <n v="15397.7"/>
        <n v="-5520"/>
        <n v="-15887.94"/>
        <n v="15887.94"/>
        <n v="-6515.13"/>
        <n v="3028"/>
        <n v="6648.22"/>
        <n v="-11065"/>
        <n v="-81.31"/>
        <n v="-12.48"/>
        <n v="-2244"/>
        <n v="-112.58"/>
        <n v="-11468.32"/>
        <n v="-11.9"/>
        <n v="16328.58"/>
        <n v="-17.33"/>
        <n v="-8.35"/>
        <n v="-91.76"/>
        <n v="-91.45"/>
        <n v="-112.57"/>
        <n v="-89.25"/>
        <n v="-66.01"/>
        <n v="-62.71"/>
        <n v="20668.54"/>
        <n v="-6.98"/>
        <n v="-7201.01"/>
        <n v="-5.9"/>
        <n v="-630.28"/>
        <n v="-28.5"/>
        <n v="-10.5"/>
        <n v="-66.5"/>
        <n v="-24.5"/>
        <n v="12492.49"/>
        <n v="-13.97"/>
        <n v="-11.24"/>
        <n v="-12096.08"/>
        <n v="-21.79"/>
        <n v="-17.7"/>
        <n v="-157.42"/>
        <n v="-16408.2"/>
        <n v="16408.2"/>
        <n v="13511.47"/>
        <n v="-0.5"/>
        <n v="26.56"/>
        <n v="16375.4"/>
        <n v="-61.29"/>
        <n v="-12568.94"/>
        <n v="-79.65"/>
        <n v="-3624.52"/>
        <n v="-82.6"/>
        <n v="-99.96"/>
        <n v="-103.28"/>
        <n v="-57.13"/>
        <n v="-18.45"/>
        <n v="-77.49"/>
        <n v="16777.99"/>
        <n v="-6.33"/>
        <n v="-9101.84"/>
        <n v="-8.85"/>
        <n v="-10.71"/>
        <n v="-8145.91"/>
        <n v="-16368.18"/>
        <n v="16368.18"/>
        <n v="-20010"/>
        <n v="20010"/>
        <n v="-216"/>
        <n v="-50.41"/>
        <n v="-94.7"/>
        <n v="-121.72"/>
        <n v="-125.68"/>
        <n v="-122.65"/>
        <n v="-98.14"/>
        <n v="-19409.7"/>
        <n v="19409.7"/>
        <n v="-18659.33"/>
        <n v="18659.33"/>
        <n v="21118.27"/>
        <n v="-84.01"/>
        <n v="-7251.79"/>
        <n v="-143.49"/>
        <n v="-184.41"/>
        <n v="-1035.42"/>
        <n v="22.27"/>
        <n v="-27.53"/>
        <n v="-47.71"/>
        <n v="-14930"/>
        <n v="-307.65"/>
        <n v="3116"/>
        <n v="-19905.97"/>
        <n v="19905.97"/>
        <n v="-488.49"/>
        <n v="-543.18"/>
        <n v="-2084.33"/>
        <n v="-19055.72"/>
        <n v="19055.72"/>
        <n v="1391"/>
        <n v="-657.04"/>
        <n v="-982.96"/>
        <n v="11.77"/>
        <n v="-8.54"/>
        <n v="-4.23"/>
        <n v="-8729.6"/>
        <n v="-572.51"/>
        <n v="-927.49"/>
        <n v="20023.93"/>
        <n v="-6.46"/>
        <n v="-13925.03"/>
        <n v="-457.24"/>
        <n v="-5580.97"/>
        <n v="-38"/>
        <n v="20722.99"/>
        <n v="-13.29"/>
        <n v="-14325"/>
        <n v="-834.62"/>
        <n v="-5494.09"/>
        <n v="13061.92"/>
        <n v="-2.53"/>
        <n v="-10914.11"/>
        <n v="-402.22"/>
        <n v="-1708.82"/>
        <n v="-22.8"/>
        <n v="18651.32"/>
        <n v="-8.04"/>
        <n v="-17346.9"/>
        <n v="-866.52"/>
        <n v="-378.54"/>
        <n v="-12425"/>
        <n v="12425"/>
        <n v="1712"/>
        <n v="-11335.23"/>
        <n v="11335.23"/>
        <n v="4.14"/>
        <n v="-25.19"/>
        <n v="-1774.81"/>
        <n v="-3.19"/>
        <n v="-9.93"/>
        <n v="13031.95"/>
        <n v="13151.83"/>
        <n v="-12.74"/>
        <n v="-12984.96"/>
        <n v="-749.63"/>
        <n v="-293.44"/>
        <n v="-389.12"/>
        <n v="-11685.13"/>
        <n v="-45.6"/>
        <n v="11363.39"/>
        <n v="-2.73"/>
        <n v="-1.2"/>
        <n v="-2598.72"/>
        <n v="-1223.43"/>
        <n v="-7508.17"/>
        <n v="-12395"/>
        <n v="12395"/>
        <n v="13001.98"/>
        <n v="-5.49"/>
        <n v="-11.6"/>
        <n v="-12501.83"/>
        <n v="-432.98"/>
        <n v="-16.02"/>
        <n v="13661.32"/>
        <n v="-12995"/>
        <n v="13631.35"/>
        <n v="12995"/>
        <n v="-2.75"/>
        <n v="-13613.99"/>
        <n v="-4796.73"/>
        <n v="-1052.17"/>
        <n v="-7746.5"/>
        <n v="-12965"/>
        <n v="12965"/>
        <n v="14050.93"/>
        <n v="-100"/>
        <n v="-15.17"/>
        <n v="-10912.83"/>
        <n v="-77.78"/>
        <n v="-2980.1"/>
        <n v="-13205"/>
        <n v="-12875"/>
        <n v="13205"/>
        <n v="12875"/>
        <n v="-12275"/>
        <n v="12275"/>
        <n v="-11435"/>
        <n v="11435"/>
        <n v="11983"/>
        <n v="-9344.9"/>
        <n v="-89.41"/>
        <n v="-2485.67"/>
        <n v="-1.39"/>
        <n v="-2.05"/>
        <n v="-54.72"/>
        <n v="12582.4"/>
        <n v="13211.77"/>
        <n v="-9.78"/>
        <n v="-14.36"/>
        <n v="-8849.56"/>
        <n v="-34.31"/>
        <n v="-3641.49"/>
        <n v="-8753.51"/>
        <n v="-84.34"/>
        <n v="-4339.23"/>
        <n v="-12575"/>
        <n v="12575"/>
        <n v="-11945"/>
        <n v="11945"/>
        <n v="-11345"/>
        <n v="11345"/>
        <n v="-18755.63"/>
        <n v="18755.63"/>
        <n v="-31.65"/>
        <n v="-13.14"/>
        <n v="19274.91"/>
        <n v="-19105.73"/>
        <n v="19105.73"/>
        <n v="-13.82"/>
        <n v="-53.19"/>
        <n v="-8655.77"/>
        <n v="-159.45"/>
        <n v="-10340.47"/>
        <n v="11893.09"/>
        <n v="19224.97"/>
        <n v="-9852.07"/>
        <n v="-145.28"/>
        <n v="-1865.01"/>
        <n v="-4.11"/>
        <n v="-1.83"/>
        <n v="-2624.53"/>
        <n v="-159.19"/>
        <n v="-155.41"/>
        <n v="-3022.93"/>
        <n v="-30.4"/>
        <n v="-26.53"/>
        <n v="-10409.99"/>
        <n v="-159"/>
        <n v="-1864.44"/>
        <n v="-9570.56"/>
        <n v="-122.58"/>
        <n v="-3394.3"/>
        <n v="13781.2"/>
        <n v="-2.13"/>
        <n v="-9180.7"/>
        <n v="-110.8"/>
        <n v="-4451.17"/>
        <n v="0.41"/>
        <n v="-10.44"/>
        <n v="-107.83"/>
        <n v="-44.4"/>
        <n v="15129.84"/>
        <n v="-3.48"/>
        <n v="-5.26"/>
        <n v="-7586.73"/>
        <n v="17137.69"/>
        <n v="-0.87"/>
        <n v="-3758.27"/>
        <n v="-116.55"/>
        <n v="-13215.67"/>
        <n v="-21734.52"/>
        <n v="21734.52"/>
        <n v="11139"/>
        <n v="-30.76"/>
        <n v="-5539.96"/>
        <n v="-212.64"/>
        <n v="-5327.21"/>
        <n v="-10925"/>
        <n v="10925"/>
        <n v="-12.8"/>
        <n v="-67.94"/>
        <n v="-34.56"/>
        <n v="-10701"/>
        <n v="10701"/>
        <n v="-13115"/>
        <n v="-12455"/>
        <n v="13115"/>
        <n v="12455"/>
        <n v="-10491"/>
        <n v="-10281"/>
        <n v="10491"/>
        <n v="10281"/>
        <n v="10481"/>
        <n v="-54.35"/>
        <n v="-10400.09"/>
        <n v="-10071"/>
        <n v="10071"/>
        <n v="-9721"/>
        <n v="9721"/>
        <n v="-12515"/>
        <n v="9991"/>
        <n v="12515"/>
        <n v="-7.81"/>
        <n v="-3378.43"/>
        <n v="-34.72"/>
        <n v="-177.13"/>
        <n v="-6367.92"/>
        <n v="-1.29"/>
        <n v="-3.56"/>
        <n v="-13022.83"/>
        <n v="-0.54"/>
        <n v="-78.49"/>
        <n v="-5.47"/>
        <n v="10257"/>
        <n v="-7.69"/>
        <n v="-3.25"/>
        <n v="-2343.77"/>
        <n v="-15.19"/>
        <n v="-7861.21"/>
        <n v="-10057"/>
        <n v="10057"/>
        <n v="-9609"/>
        <n v="9609"/>
        <n v="13031.94"/>
        <n v="-15.05"/>
        <n v="-8.52"/>
        <n v="-3063.79"/>
        <n v="-111.11"/>
        <n v="-9799.33"/>
        <n v="-1.18"/>
        <n v="-0.21"/>
        <n v="-901.67"/>
        <n v="-133.78"/>
        <n v="-11931.08"/>
        <n v="-6245"/>
        <n v="-405.6"/>
        <n v="6245"/>
        <n v="6500.49"/>
        <n v="9879"/>
        <n v="-1.9"/>
        <n v="-1183.92"/>
        <n v="-147.38"/>
        <n v="-5144.63"/>
        <n v="-7310.37"/>
        <n v="-119.15"/>
        <n v="-2424.83"/>
        <n v="0.33"/>
        <n v="-11975"/>
        <n v="11975"/>
        <n v="-1.87"/>
        <n v="-8066.17"/>
        <n v="-119.09"/>
        <n v="-4361.39"/>
        <n v="-1.09"/>
        <n v="-1.37"/>
        <n v="-79.11"/>
        <n v="11735"/>
        <n v="-10861.8"/>
        <n v="10861.8"/>
        <n v="11114.2"/>
        <n v="-11.8"/>
        <n v="-15.09"/>
        <n v="-5919.61"/>
        <n v="-42.34"/>
        <n v="-5096.9"/>
        <n v="-10485"/>
        <n v="10485"/>
        <n v="-23.6"/>
        <n v="-4.86"/>
        <n v="12312.67"/>
        <n v="-35.47"/>
        <n v="-63.56"/>
        <n v="-5184.1"/>
        <n v="-250.21"/>
        <n v="-6747.24"/>
        <n v="-14342"/>
        <n v="14342"/>
        <n v="14866.6"/>
        <n v="-4.62"/>
        <n v="-3323.76"/>
        <n v="-247.68"/>
        <n v="-301.75"/>
        <n v="-1228.18"/>
        <n v="13241.74"/>
        <n v="-18.33"/>
        <n v="-11286.82"/>
        <n v="-228.48"/>
        <n v="-1673.33"/>
        <n v="3317"/>
        <n v="-3.88"/>
        <n v="-3396.12"/>
        <n v="0.12"/>
        <n v="12852.13"/>
        <n v="-4987.55"/>
        <n v="-225.51"/>
        <n v="-7605.36"/>
        <n v="400"/>
        <n v="-12245"/>
        <n v="12245"/>
        <n v="10891"/>
        <n v="-2003.64"/>
        <n v="-311.07"/>
        <n v="-8547.22"/>
        <m/>
      </sharedItems>
    </cacheField>
    <cacheField name="剩余金额" numFmtId="0">
      <sharedItems containsString="0" containsBlank="1" containsNumber="1" minValue="-55556.97" maxValue="284833.37" count="2055">
        <n v="0"/>
        <n v="-6091.69"/>
        <n v="200"/>
        <n v="6129.06"/>
        <n v="5952.05"/>
        <n v="37.37"/>
        <n v="35.91"/>
        <n v="-55556.97"/>
        <n v="18945.51"/>
        <n v="38194.4"/>
        <n v="25659.43"/>
        <n v="13124.46"/>
        <n v="32173.77"/>
        <n v="25976.36"/>
        <n v="38511.33"/>
        <n v="51046.3"/>
        <n v="57243.71"/>
        <n v="57217.15"/>
        <n v="38334.11"/>
        <n v="19085.22"/>
        <n v="1624.27"/>
        <n v="18595.05"/>
        <n v="24781.43"/>
        <n v="18604.04"/>
        <n v="12466.7"/>
        <n v="18644.09"/>
        <n v="24770.96"/>
        <n v="13824.35"/>
        <n v="13812.38"/>
        <n v="6222.29"/>
        <n v="1277.41"/>
        <n v="1271.49"/>
        <n v="-12178.71"/>
        <n v="24182.69"/>
        <n v="16473.62"/>
        <n v="4499.26"/>
        <n v="24179.12"/>
        <n v="19217.29"/>
        <n v="19212.85"/>
        <n v="13035.46"/>
        <n v="13031.05"/>
        <n v="6893.71"/>
        <n v="6887.87"/>
        <n v="-18225.95"/>
        <n v="-10472.87"/>
        <n v="-4416.22"/>
        <n v="13845.64"/>
        <n v="13841.8"/>
        <n v="8479.14"/>
        <n v="8473.62"/>
        <n v="6092.56"/>
        <n v="764.55"/>
        <n v="755.97"/>
        <n v="18186.84"/>
        <n v="6932.54"/>
        <n v="6929.85"/>
        <n v="85.72"/>
        <n v="81.36"/>
        <n v="-7437.5"/>
        <n v="-13384.63"/>
        <n v="-11732.82"/>
        <n v="-5875.75"/>
        <n v="-11702.75"/>
        <n v="111.43"/>
        <n v="5938.43"/>
        <n v="5932.97"/>
        <n v="7764.59"/>
        <n v="7755.28"/>
        <n v="2189.16"/>
        <n v="2174.77"/>
        <n v="14469.14"/>
        <n v="14461.35"/>
        <n v="9035.9"/>
        <n v="9016.02"/>
        <n v="3068.89"/>
        <n v="3032.23"/>
        <n v="69.14"/>
        <n v="17969.67"/>
        <n v="30873.75"/>
        <n v="30871.64"/>
        <n v="22020.55"/>
        <n v="22001.09"/>
        <n v="16174.09"/>
        <n v="26838.07"/>
        <n v="35679.73"/>
        <n v="23592.49"/>
        <n v="35573.29"/>
        <n v="28432.99"/>
        <n v="42571.15"/>
        <n v="32573.05"/>
        <n v="25377.75"/>
        <n v="5424.75"/>
        <n v="5432.38"/>
        <n v="-11126.41"/>
        <n v="-27855.39"/>
        <n v="21269.01"/>
        <n v="13123.71"/>
        <n v="5153.41"/>
        <n v="-5488.28"/>
        <n v="21712.2"/>
        <n v="38441.18"/>
        <n v="21882.39"/>
        <n v="16170.23"/>
        <n v="16152.45"/>
        <n v="5510.76"/>
        <n v="10.76"/>
        <n v="510.76"/>
        <n v="517.34"/>
        <n v="-7962.58"/>
        <n v="8150.66"/>
        <n v="7633.66"/>
        <n v="7625.54"/>
        <n v="0.34"/>
        <n v="-10301.28"/>
        <n v="-20577.87"/>
        <n v="-10276.25"/>
        <n v="20000.34"/>
        <n v="9605.14"/>
        <n v="22644.35"/>
        <n v="1204.1"/>
        <n v="1203.22"/>
        <n v="866.38"/>
        <n v="865.5"/>
        <n v="848.28"/>
        <n v="626.38"/>
        <n v="22692.41"/>
        <n v="33286.49"/>
        <n v="33284.08"/>
        <n v="23204.36"/>
        <n v="23184.74"/>
        <n v="12908.15"/>
        <n v="2392.89"/>
        <n v="13326.46"/>
        <n v="2160.88"/>
        <n v="-5908.59"/>
        <n v="10160.88"/>
        <n v="10158.95"/>
        <n v="2089.48"/>
        <n v="-4318.16"/>
        <n v="-4748.63"/>
        <n v="8804.75"/>
        <n v="8798.63"/>
        <n v="2390.99"/>
        <n v="2386.09"/>
        <n v="8615.15"/>
        <n v="19821.57"/>
        <n v="19820.01"/>
        <n v="13295.9"/>
        <n v="13278.51"/>
        <n v="6992.91"/>
        <n v="31606.39"/>
        <n v="12506.24"/>
        <n v="32066.25"/>
        <n v="22485.95"/>
        <n v="32106.01"/>
        <n v="22491.71"/>
        <n v="14389.53"/>
        <n v="23814.79"/>
        <n v="14449.49"/>
        <n v="1342.64"/>
        <n v="-30392.23"/>
        <n v="-20897.04"/>
        <n v="-31426.54"/>
        <n v="308.33"/>
        <n v="10790.96"/>
        <n v="21210"/>
        <n v="21202.64"/>
        <n v="10727.37"/>
        <n v="21570.78"/>
        <n v="29720.44"/>
        <n v="17092.93"/>
        <n v="6477.02"/>
        <n v="38928.27"/>
        <n v="38913.48"/>
        <n v="27260.28"/>
        <n v="17653.88"/>
        <n v="29091.39"/>
        <n v="42130.6"/>
        <n v="28463.47"/>
        <n v="42187.55"/>
        <n v="14303.01"/>
        <n v="-18404.73"/>
        <n v="36708.75"/>
        <n v="8163.88"/>
        <n v="8169.6"/>
        <n v="36875.87"/>
        <n v="44013.12"/>
        <n v="72489.74"/>
        <n v="43954.88"/>
        <n v="43939.7"/>
        <n v="11231.96"/>
        <n v="26808.26"/>
        <n v="4696.01"/>
        <n v="174.77"/>
        <n v="1599.77"/>
        <n v="-55265.71"/>
        <n v="19572.32"/>
        <n v="81576.17"/>
        <n v="73411.17"/>
        <n v="73318.84"/>
        <n v="16453.36"/>
        <n v="16428.36"/>
        <n v="16415.86"/>
        <n v="8420.86"/>
        <n v="-15086.17"/>
        <n v="32643.27"/>
        <n v="-28827.27"/>
        <n v="32637.82"/>
        <n v="32084.46"/>
        <n v="15171.23"/>
        <n v="9130.79"/>
        <n v="72682.31"/>
        <n v="9059.4"/>
        <n v="71862.05"/>
        <n v="47694.3"/>
        <n v="111317.21"/>
        <n v="135484.96"/>
        <n v="135456.44"/>
        <n v="126456.44"/>
        <n v="64985.9"/>
        <n v="43042.93"/>
        <n v="10362.99"/>
        <n v="36143.06"/>
        <n v="36137.45"/>
        <n v="11969.7"/>
        <n v="152.39"/>
        <n v="855.39"/>
        <n v="66653.54"/>
        <n v="1868.16"/>
        <n v="95185.53"/>
        <n v="874.1"/>
        <n v="838.1"/>
        <n v="808.1"/>
        <n v="763.1"/>
        <n v="96208.65"/>
        <n v="96210.89"/>
        <n v="74536.47"/>
        <n v="46181.31"/>
        <n v="21145.08"/>
        <n v="-78.84"/>
        <n v="10683.21"/>
        <n v="21395.36"/>
        <n v="742.07"/>
        <n v="22416.49"/>
        <n v="50771.65"/>
        <n v="75807.88"/>
        <n v="97031.8"/>
        <n v="117685.09"/>
        <n v="106923.04"/>
        <n v="84687.63"/>
        <n v="64254.58"/>
        <n v="108083.4"/>
        <n v="87576.44"/>
        <n v="76053.18"/>
        <n v="76047.84"/>
        <n v="56011.03"/>
        <n v="44985.43"/>
        <n v="25828.89"/>
        <n v="9163.13"/>
        <n v="347.53"/>
        <n v="20320.73"/>
        <n v="30155.28"/>
        <n v="20069.68"/>
        <n v="40841.83"/>
        <n v="30930.64"/>
        <n v="40641.61"/>
        <n v="38849.89"/>
        <n v="24906.31"/>
        <n v="16270.33"/>
        <n v="12286.45"/>
        <n v="206.23"/>
        <n v="205.65"/>
        <n v="126.71"/>
        <n v="89.21"/>
        <n v="-7890.16"/>
        <n v="605.73"/>
        <n v="10670.35"/>
        <n v="18649.72"/>
        <n v="8610.34"/>
        <n v="630.97"/>
        <n v="-9160.09"/>
        <n v="799.63"/>
        <n v="10590.69"/>
        <n v="7674.06"/>
        <n v="655.9"/>
        <n v="578.15"/>
        <n v="-9162.85"/>
        <n v="86558.59"/>
        <n v="-13053.86"/>
        <n v="-27971.45"/>
        <n v="322.58"/>
        <n v="10063.58"/>
        <n v="109676.03"/>
        <n v="124593.62"/>
        <n v="110387.86"/>
        <n v="89734.57"/>
        <n v="69301.52"/>
        <n v="59390.33"/>
        <n v="49599.27"/>
        <n v="39858.27"/>
        <n v="39771.31"/>
        <n v="39685.09"/>
        <n v="39618.73"/>
        <n v="39604.93"/>
        <n v="39602.66"/>
        <n v="15595.22"/>
        <n v="6635.07"/>
        <n v="7531.06"/>
        <n v="17106.17"/>
        <n v="26686.27"/>
        <n v="34750.43"/>
        <n v="25199.09"/>
        <n v="15642.78"/>
        <n v="26072.03"/>
        <n v="50154.56"/>
        <n v="40154.56"/>
        <n v="50089.69"/>
        <n v="35722.92"/>
        <n v="29751.65"/>
        <n v="48026.48"/>
        <n v="89530.84"/>
        <n v="132534.61"/>
        <n v="143503.32"/>
        <n v="143461.45"/>
        <n v="143440.69"/>
        <n v="143430.29"/>
        <n v="143422.81"/>
        <n v="102030.25"/>
        <n v="83256.05"/>
        <n v="68338.46"/>
        <n v="59378.31"/>
        <n v="51314.15"/>
        <n v="41227.77"/>
        <n v="101.38"/>
        <n v="51232.81"/>
        <n v="69927.09"/>
        <n v="80013.47"/>
        <n v="121139.86"/>
        <n v="120823.59"/>
        <n v="110737.21"/>
        <n v="109355.42"/>
        <n v="60356.27"/>
        <n v="79557.14"/>
        <n v="79554.92"/>
        <n v="69984.1"/>
        <n v="50361.94"/>
        <n v="113093.87"/>
        <n v="23803.06"/>
        <n v="43425.22"/>
        <n v="132716.03"/>
        <n v="152769.13"/>
        <n v="132836.63"/>
        <n v="133146.97"/>
        <n v="132770.05"/>
        <n v="132756.4"/>
        <n v="172922.51"/>
        <n v="193175.34"/>
        <n v="153117.42"/>
        <n v="132919.14"/>
        <n v="112876.52"/>
        <n v="252059.74"/>
        <n v="212855.46"/>
        <n v="232898.08"/>
        <n v="272102.36"/>
        <n v="272012.96"/>
        <n v="272003.72"/>
        <n v="243346.03"/>
        <n v="223413.53"/>
        <n v="203370.91"/>
        <n v="163325.71"/>
        <n v="243596.95"/>
        <n v="237579.3"/>
        <n v="205485.16"/>
        <n v="204392.67"/>
        <n v="203479.27"/>
        <n v="203461.09"/>
        <n v="184019.13"/>
        <n v="119735.14"/>
        <n v="161972.05"/>
        <n v="204108.98"/>
        <n v="194468.68"/>
        <n v="185133.38"/>
        <n v="146360.58"/>
        <n v="87344.55"/>
        <n v="156754.96"/>
        <n v="167234.25"/>
        <n v="177743.51"/>
        <n v="188452.57"/>
        <n v="178084.42"/>
        <n v="167631.62"/>
        <n v="157148.94"/>
        <n v="149320.77"/>
        <n v="146467.06"/>
        <n v="146357.91"/>
        <n v="141357.91"/>
        <n v="204693.56"/>
        <n v="215452.56"/>
        <n v="226296.48"/>
        <n v="215611.27"/>
        <n v="205116.06"/>
        <n v="205076.13"/>
        <n v="205048.75"/>
        <n v="188460.5"/>
        <n v="167149.72"/>
        <n v="162938.73"/>
        <n v="143989.21"/>
        <n v="133257.54"/>
        <n v="131549.98"/>
        <n v="129444.47"/>
        <n v="107780.24"/>
        <n v="129551.24"/>
        <n v="140684.87"/>
        <n v="132916.17"/>
        <n v="154580.4"/>
        <n v="162349.1"/>
        <n v="118500.05"/>
        <n v="126357.02"/>
        <n v="104542.61"/>
        <n v="202961.54"/>
        <n v="225146.36"/>
        <n v="246960.77"/>
        <n v="239192.07"/>
        <n v="238819.21"/>
        <n v="217007.25"/>
        <n v="195610.25"/>
        <n v="195192.84"/>
        <n v="195191.04"/>
        <n v="150282.8"/>
        <n v="95191.04"/>
        <n v="50261.96"/>
        <n v="95170.2"/>
        <n v="29024.96"/>
        <n v="70849.26"/>
        <n v="51553.89"/>
        <n v="69230.35"/>
        <n v="86697.09"/>
        <n v="80474.09"/>
        <n v="87019.09"/>
        <n v="74653.84"/>
        <n v="61661.84"/>
        <n v="48826.84"/>
        <n v="62418.23"/>
        <n v="75499.87"/>
        <n v="89051.3"/>
        <n v="107716.45"/>
        <n v="50682.64"/>
        <n v="93021.16"/>
        <n v="107481.39"/>
        <n v="89785.56"/>
        <n v="107721.67"/>
        <n v="91622.64"/>
        <n v="89833.87"/>
        <n v="108394.44"/>
        <n v="108296.9"/>
        <n v="75728.87"/>
        <n v="55041.09"/>
        <n v="75724.07"/>
        <n v="55113.59"/>
        <n v="69507.18"/>
        <n v="19507.18"/>
        <n v="39580.45"/>
        <n v="49904.9"/>
        <n v="39754.7"/>
        <n v="50064.16"/>
        <n v="60823.16"/>
        <n v="50252.95"/>
        <n v="60986.98"/>
        <n v="50766.78"/>
        <n v="39361.55"/>
        <n v="49666.02"/>
        <n v="60562.89"/>
        <n v="49957.68"/>
        <n v="60626.78"/>
        <n v="69752.46"/>
        <n v="60735.28"/>
        <n v="48770.04"/>
        <n v="38464.83"/>
        <n v="28019.62"/>
        <n v="23044.62"/>
        <n v="9859.36"/>
        <n v="23180.75"/>
        <n v="10015.49"/>
        <n v="-8385.1"/>
        <n v="23436.78"/>
        <n v="13571.78"/>
        <n v="43571.78"/>
        <n v="24715.56"/>
        <n v="54715.56"/>
        <n v="54750.32"/>
        <n v="64545.31"/>
        <n v="75938.67"/>
        <n v="67123.49"/>
        <n v="58248.31"/>
        <n v="40262.38"/>
        <n v="50302.12"/>
        <n v="50259.42"/>
        <n v="40488.86"/>
        <n v="31858.83"/>
        <n v="51702.4"/>
        <n v="63070.78"/>
        <n v="76532.03"/>
        <n v="65237.8"/>
        <n v="47411.92"/>
        <n v="34126.65"/>
        <n v="16420.81"/>
        <n v="-1038.72"/>
        <n v="8615.81"/>
        <n v="-6520.82"/>
        <n v="28615.81"/>
        <n v="11817.01"/>
        <n v="36584.02"/>
        <n v="17257.64"/>
        <n v="-2748.56"/>
        <n v="14050.24"/>
        <n v="33724.04"/>
        <n v="41571.18"/>
        <n v="22564.91"/>
        <n v="920.7"/>
        <n v="-17269.65"/>
        <n v="1435.44"/>
        <n v="17284.57"/>
        <n v="38928.78"/>
        <n v="57119.13"/>
        <n v="23792.15"/>
        <n v="23764.07"/>
        <n v="5648.1"/>
        <n v="23993.67"/>
        <n v="5907.71"/>
        <n v="-3732.07"/>
        <n v="-8298.18"/>
        <n v="762.71"/>
        <n v="6002.46"/>
        <n v="677.46"/>
        <n v="6136.99"/>
        <n v="1101.99"/>
        <n v="6291.79"/>
        <n v="26291.79"/>
        <n v="18771.64"/>
        <n v="6326.39"/>
        <n v="99.39"/>
        <n v="6819.66"/>
        <n v="14446.87"/>
        <n v="446.87"/>
        <n v="14272.72"/>
        <n v="5446.87"/>
        <n v="-4213.94"/>
        <n v="20446.87"/>
        <n v="30371.73"/>
        <n v="10835.29"/>
        <n v="935.25"/>
        <n v="-8655.48"/>
        <n v="10610.37"/>
        <n v="959.32"/>
        <n v="10879.18"/>
        <n v="-10324.54"/>
        <n v="-20230.62"/>
        <n v="-10415.65"/>
        <n v="-509.57"/>
        <n v="20694.15"/>
        <n v="18601.03"/>
        <n v="10799.1"/>
        <n v="8961.25"/>
        <n v="1008.62"/>
        <n v="761.73"/>
        <n v="661.01"/>
        <n v="-8959.75"/>
        <n v="10574.24"/>
        <n v="20019.59"/>
        <n v="137.34"/>
        <n v="9758.1"/>
        <n v="29640.35"/>
        <n v="10158.98"/>
        <n v="8450.8"/>
        <n v="737.01"/>
        <n v="723.17"/>
        <n v="21101.03"/>
        <n v="2430.14"/>
        <n v="20775.71"/>
        <n v="2385.13"/>
        <n v="21056.02"/>
        <n v="39446.6"/>
        <n v="37724.25"/>
        <n v="19123.64"/>
        <n v="17246.7"/>
        <n v="7340.62"/>
        <n v="827.49"/>
        <n v="819.08"/>
        <n v="812.56"/>
        <n v="801.06"/>
        <n v="20245.16"/>
        <n v="17137.53"/>
        <n v="853.43"/>
        <n v="843.07"/>
        <n v="13844.79"/>
        <n v="-5717.09"/>
        <n v="13766.96"/>
        <n v="33328.84"/>
        <n v="29695.16"/>
        <n v="20361.18"/>
        <n v="17974.39"/>
        <n v="929.61"/>
        <n v="906.04"/>
        <n v="896.83"/>
        <n v="904.53"/>
        <n v="-11228.8"/>
        <n v="1154.53"/>
        <n v="-12540.79"/>
        <n v="13497.17"/>
        <n v="1363.84"/>
        <n v="1304.8"/>
        <n v="1297.3"/>
        <n v="-11396.9"/>
        <n v="1484.94"/>
        <n v="14179.14"/>
        <n v="6714.32"/>
        <n v="1331"/>
        <n v="992.39"/>
        <n v="19617.59"/>
        <n v="12732.45"/>
        <n v="6037.32"/>
        <n v="24732.43"/>
        <n v="38393.48"/>
        <n v="37111.84"/>
        <n v="37072.2"/>
        <n v="24006.94"/>
        <n v="37707.95"/>
        <n v="28885.38"/>
        <n v="24043.1"/>
        <n v="23672.16"/>
        <n v="10346.89"/>
        <n v="24107.83"/>
        <n v="13152.83"/>
        <n v="645.58"/>
        <n v="2145.58"/>
        <n v="23716.85"/>
        <n v="22371.05"/>
        <n v="2809.17"/>
        <n v="2772.47"/>
        <n v="2423"/>
        <n v="15400.74"/>
        <n v="14400.74"/>
        <n v="13900.74"/>
        <n v="15285.99"/>
        <n v="13907.3"/>
        <n v="942.04"/>
        <n v="-6135.88"/>
        <n v="8259.56"/>
        <n v="1181.64"/>
        <n v="1180"/>
        <n v="180"/>
        <n v="1114.25"/>
        <n v="5878.53"/>
        <n v="5871.17"/>
        <n v="10154.63"/>
        <n v="10079.63"/>
        <n v="-3225.26"/>
        <n v="-3285.33"/>
        <n v="-16680.32"/>
        <n v="-3315.36"/>
        <n v="402.63"/>
        <n v="10222.63"/>
        <n v="373.43"/>
        <n v="8849.17"/>
        <n v="9849.17"/>
        <n v="599.17"/>
        <n v="12222.53"/>
        <n v="12215.03"/>
        <n v="41215.03"/>
        <n v="369.55"/>
        <n v="15449.15"/>
        <n v="14966.78"/>
        <n v="2272.58"/>
        <n v="2268.07"/>
        <n v="1923.91"/>
        <n v="1867.92"/>
        <n v="867.92"/>
        <n v="738.2"/>
        <n v="60194.05"/>
        <n v="47612.8"/>
        <n v="60179.49"/>
        <n v="34090.36"/>
        <n v="47485.35"/>
        <n v="20598.3"/>
        <n v="33963.26"/>
        <n v="7033.03"/>
        <n v="14033.03"/>
        <n v="698.11"/>
        <n v="703.7"/>
        <n v="30703.7"/>
        <n v="27667.78"/>
        <n v="598.85"/>
        <n v="486.88"/>
        <n v="27690.66"/>
        <n v="15955.66"/>
        <n v="412.35"/>
        <n v="12245.5"/>
        <n v="12238"/>
        <n v="-7884.51"/>
        <n v="3238"/>
        <n v="23580.91"/>
        <n v="3458.4"/>
        <n v="3439.73"/>
        <n v="3364.73"/>
        <n v="-30859.53"/>
        <n v="-20485.13"/>
        <n v="10374.4"/>
        <n v="26.27"/>
        <n v="18137.15"/>
        <n v="38869.53"/>
        <n v="38864.77"/>
        <n v="18353.37"/>
        <n v="-25295.46"/>
        <n v="360.09"/>
        <n v="18254.54"/>
        <n v="8268.64"/>
        <n v="74995.77"/>
        <n v="31164.75"/>
        <n v="74813.58"/>
        <n v="31170.26"/>
        <n v="170.26"/>
        <n v="10170.26"/>
        <n v="20171.16"/>
        <n v="20182.35"/>
        <n v="9107.35"/>
        <n v="-10474.56"/>
        <n v="28591.4"/>
        <n v="28422.9"/>
        <n v="28573.24"/>
        <n v="8991.33"/>
        <n v="20255.05"/>
        <n v="20252.55"/>
        <n v="9087.55"/>
        <n v="31457.76"/>
        <n v="42751.45"/>
        <n v="65820.73"/>
        <n v="44414.1"/>
        <n v="33219.1"/>
        <n v="44602.7"/>
        <n v="66454.04"/>
        <n v="55259.04"/>
        <n v="43974.04"/>
        <n v="55097.9"/>
        <n v="30340.23"/>
        <n v="5192.44"/>
        <n v="5209.03"/>
        <n v="420.03"/>
        <n v="-30564.64"/>
        <n v="702.53"/>
        <n v="27466.88"/>
        <n v="26766.88"/>
        <n v="27344.67"/>
        <n v="74.62"/>
        <n v="-9604.2"/>
        <n v="-43.97"/>
        <n v="9634.85"/>
        <n v="98.35"/>
        <n v="20098.35"/>
        <n v="772.36"/>
        <n v="272.36"/>
        <n v="754.3"/>
        <n v="-21276.32"/>
        <n v="-38995.79"/>
        <n v="-17447.11"/>
        <n v="19818.71"/>
        <n v="20318.71"/>
        <n v="0.54"/>
        <n v="2.01"/>
        <n v="30651.81"/>
        <n v="19691.59"/>
        <n v="-2032.28"/>
        <n v="1972.12"/>
        <n v="1877.59"/>
        <n v="1854.34"/>
        <n v="23975.32"/>
        <n v="2026.2"/>
        <n v="2426.64"/>
        <n v="1913.92"/>
        <n v="1748.92"/>
        <n v="-19324.24"/>
        <n v="2948.92"/>
        <n v="48.92"/>
        <n v="2901.67"/>
        <n v="11592.13"/>
        <n v="11449.81"/>
        <n v="11447.55"/>
        <n v="11397.55"/>
        <n v="164.33"/>
        <n v="11477.76"/>
        <n v="227.54"/>
        <n v="11187.34"/>
        <n v="382.34"/>
        <n v="-10695.05"/>
        <n v="11560.92"/>
        <n v="11260.92"/>
        <n v="11559.84"/>
        <n v="183.53"/>
        <n v="180.96"/>
        <n v="11173.73"/>
        <n v="326.51"/>
        <n v="10840.76"/>
        <n v="10759.59"/>
        <n v="10840.6"/>
        <n v="840.76"/>
        <n v="10561.59"/>
        <n v="-29324.32"/>
        <n v="-52556.39"/>
        <n v="24269.56"/>
        <n v="1037.49"/>
        <n v="1032.1"/>
        <n v="31322.37"/>
        <n v="30322.37"/>
        <n v="31303.69"/>
        <n v="157.29"/>
        <n v="143.29"/>
        <n v="138.29"/>
        <n v="-9416.71"/>
        <n v="5753.89"/>
        <n v="15219.41"/>
        <n v="-7982.65"/>
        <n v="15119.41"/>
        <n v="15199.89"/>
        <n v="5677.33"/>
        <n v="77.33"/>
        <n v="5674.91"/>
        <n v="-10122.97"/>
        <n v="10431.75"/>
        <n v="10231.75"/>
        <n v="10423.91"/>
        <n v="31.45"/>
        <n v="29.08"/>
        <n v="23198.69"/>
        <n v="18559.91"/>
        <n v="91.49"/>
        <n v="86.1"/>
        <n v="-22975.43"/>
        <n v="-32530.43"/>
        <n v="-9760.3"/>
        <n v="13301.23"/>
        <n v="22856.23"/>
        <n v="19375.53"/>
        <n v="147.43"/>
        <n v="43992.29"/>
        <n v="55630.63"/>
        <n v="55482.03"/>
        <n v="55205.61"/>
        <n v="55130.63"/>
        <n v="55089.9"/>
        <n v="55202.82"/>
        <n v="54975.63"/>
        <n v="55017.63"/>
        <n v="54982.3"/>
        <n v="53130.57"/>
        <n v="30069.04"/>
        <n v="30036.94"/>
        <n v="30006.94"/>
        <n v="8796.34"/>
        <n v="20726.94"/>
        <n v="30000"/>
        <n v="30002.23"/>
        <n v="39462.75"/>
        <n v="61513.83"/>
        <n v="50768.62"/>
        <n v="49987.54"/>
        <n v="50737.9"/>
        <n v="40550.45"/>
        <n v="19339.85"/>
        <n v="19330.01"/>
        <n v="10105.01"/>
        <n v="28670.65"/>
        <n v="28552.74"/>
        <n v="19353.08"/>
        <n v="19324.1"/>
        <n v="29658.54"/>
        <n v="8272.85"/>
        <n v="-13964.04"/>
        <n v="7421.65"/>
        <n v="-13713.91"/>
        <n v="29043.29"/>
        <n v="19483.29"/>
        <n v="7657.6"/>
        <n v="7479.89"/>
        <n v="7420.37"/>
        <n v="-16911.79"/>
        <n v="3151.89"/>
        <n v="-13926.65"/>
        <n v="10405.51"/>
        <n v="27484.05"/>
        <n v="27403.71"/>
        <n v="18178.71"/>
        <n v="8618.71"/>
        <n v="8605.48"/>
        <n v="8562.68"/>
        <n v="8556.02"/>
        <n v="-14005.26"/>
        <n v="8394.57"/>
        <n v="8287.23"/>
        <n v="8236.46"/>
        <n v="8200.82"/>
        <n v="8158.97"/>
        <n v="32002.69"/>
        <n v="11044.84"/>
        <n v="8223.2"/>
        <n v="8213.48"/>
        <n v="-14622.93"/>
        <n v="31433.02"/>
        <n v="55072.01"/>
        <n v="54982.01"/>
        <n v="77132.95"/>
        <n v="60414.59"/>
        <n v="41204.99"/>
        <n v="57923.35"/>
        <n v="55041.67"/>
        <n v="33405.86"/>
        <n v="75600.49"/>
        <n v="99179.56"/>
        <n v="78344.15"/>
        <n v="99979.96"/>
        <n v="120815.37"/>
        <n v="101075.73"/>
        <n v="78734.37"/>
        <n v="78691.84"/>
        <n v="53844.14"/>
        <n v="74716.76"/>
        <n v="56821.21"/>
        <n v="56326.16"/>
        <n v="36004.81"/>
        <n v="35972.58"/>
        <n v="54028.9"/>
        <n v="36021.22"/>
        <n v="17805.57"/>
        <n v="36131.53"/>
        <n v="34929.61"/>
        <n v="34884.75"/>
        <n v="4884.75"/>
        <n v="4723.29"/>
        <n v="4676.44"/>
        <n v="4553.68"/>
        <n v="4456.68"/>
        <n v="4431.17"/>
        <n v="4324.88"/>
        <n v="-11312.94"/>
        <n v="4336.95"/>
        <n v="4180.69"/>
        <n v="4165.09"/>
        <n v="4046.29"/>
        <n v="3929.89"/>
        <n v="3920.85"/>
        <n v="3775.91"/>
        <n v="3667.05"/>
        <n v="-11370.47"/>
        <n v="-15117.34"/>
        <n v="279.53"/>
        <n v="19063.92"/>
        <n v="18959.75"/>
        <n v="3705.6"/>
        <n v="23001.61"/>
        <n v="7693.96"/>
        <n v="22998.27"/>
        <n v="15807.39"/>
        <n v="15795.95"/>
        <n v="13555.07"/>
        <n v="13467.95"/>
        <n v="3753.92"/>
        <n v="3740.24"/>
        <n v="3623.85"/>
        <n v="3614.81"/>
        <n v="3469.87"/>
        <n v="3361.01"/>
        <n v="3273.77"/>
        <n v="3230.18"/>
        <n v="3201.78"/>
        <n v="18808.33"/>
        <n v="18792.94"/>
        <n v="11428.43"/>
        <n v="11393.51"/>
        <n v="3240.85"/>
        <n v="-12066.8"/>
        <n v="45424.67"/>
        <n v="66366.78"/>
        <n v="52231.78"/>
        <n v="65143.85"/>
        <n v="56546.33"/>
        <n v="65112.03"/>
        <n v="55224.33"/>
        <n v="56538.79"/>
        <n v="35143.85"/>
        <n v="55103.54"/>
        <n v="35143.65"/>
        <n v="35049.31"/>
        <n v="34958.57"/>
        <n v="34845.25"/>
        <n v="34752.95"/>
        <n v="34699.7"/>
        <n v="15133.64"/>
        <n v="1018.64"/>
        <n v="15559.09"/>
        <n v="282.09"/>
        <n v="82.09"/>
        <n v="279.46"/>
        <n v="20814.89"/>
        <n v="36010.67"/>
        <n v="25880.67"/>
        <n v="15660.67"/>
        <n v="15673.43"/>
        <n v="15670.1"/>
        <n v="15546.74"/>
        <n v="15428.09"/>
        <n v="15279.91"/>
        <n v="15159.21"/>
        <n v="15038.51"/>
        <n v="-3395.7"/>
        <n v="14356.51"/>
        <n v="15034.86"/>
        <n v="14238.51"/>
        <n v="14273.05"/>
        <n v="1238.51"/>
        <n v="14213.17"/>
        <n v="1237.9"/>
        <n v="1129.72"/>
        <n v="994.6"/>
        <n v="884.55"/>
        <n v="774.5"/>
        <n v="693.21"/>
        <n v="676.13"/>
        <n v="578.42"/>
        <n v="456.38"/>
        <n v="356.98"/>
        <n v="257.58"/>
        <n v="137.79"/>
        <n v="-7617.21"/>
        <n v="8199.71"/>
        <n v="8121.26"/>
        <n v="157.02"/>
        <n v="307.02"/>
        <n v="-7487.98"/>
        <n v="107.02"/>
        <n v="294.47"/>
        <n v="16325.75"/>
        <n v="1200.75"/>
        <n v="8628.31"/>
        <n v="8618.43"/>
        <n v="1218.07"/>
        <n v="1222.7"/>
        <n v="1218.2"/>
        <n v="1101.05"/>
        <n v="983.9"/>
        <n v="842.71"/>
        <n v="822.58"/>
        <n v="793.78"/>
        <n v="770.26"/>
        <n v="654.89"/>
        <n v="944.89"/>
        <n v="816.53"/>
        <n v="798.23"/>
        <n v="744.23"/>
        <n v="689.93"/>
        <n v="585.23"/>
        <n v="562.73"/>
        <n v="456.04"/>
        <n v="349.35"/>
        <n v="3483.31"/>
        <n v="3410.58"/>
        <n v="0.31"/>
        <n v="1320.31"/>
        <n v="1285.5"/>
        <n v="103182.58"/>
        <n v="3182.58"/>
        <n v="3122.31"/>
        <n v="-20710.35"/>
        <n v="0.3"/>
        <n v="22865.64"/>
        <n v="8458.44"/>
        <n v="23011.57"/>
        <n v="37418.77"/>
        <n v="37206.38"/>
        <n v="29451.38"/>
        <n v="29237.83"/>
        <n v="21442.83"/>
        <n v="21031.04"/>
        <n v="14610.47"/>
        <n v="5993.52"/>
        <n v="5905.02"/>
        <n v="2672.68"/>
        <n v="2253.78"/>
        <n v="93.78"/>
        <n v="88.78"/>
        <n v="-15509.02"/>
        <n v="73.53"/>
        <n v="-14082.04"/>
        <n v="1594.41"/>
        <n v="15676.45"/>
        <n v="15673.4"/>
        <n v="2525.75"/>
        <n v="2159.08"/>
        <n v="39.35"/>
        <n v="26200.05"/>
        <n v="48666.3"/>
        <n v="22253.1"/>
        <n v="9021.49"/>
        <n v="35434.69"/>
        <n v="48647.94"/>
        <n v="35460.02"/>
        <n v="35114.31"/>
        <n v="22571.1"/>
        <n v="14403.96"/>
        <n v="14196.89"/>
        <n v="3580.45"/>
        <n v="3540.37"/>
        <n v="161.1"/>
        <n v="156.1"/>
        <n v="140.74"/>
        <n v="6.1"/>
        <n v="15185.6"/>
        <n v="15185.91"/>
        <n v="15142.92"/>
        <n v="15048.9"/>
        <n v="14933.06"/>
        <n v="14838.27"/>
        <n v="14697.31"/>
        <n v="14626.7"/>
        <n v="12626.7"/>
        <n v="7626.7"/>
        <n v="7553.37"/>
        <n v="7535.68"/>
        <n v="7430.71"/>
        <n v="7335.92"/>
        <n v="7158.19"/>
        <n v="7069.16"/>
        <n v="6985.73"/>
        <n v="6965.6"/>
        <n v="6846.16"/>
        <n v="6738.31"/>
        <n v="6536.08"/>
        <n v="6434.78"/>
        <n v="253.66"/>
        <n v="6626.15"/>
        <n v="24782.33"/>
        <n v="41497.22"/>
        <n v="41459.29"/>
        <n v="30566"/>
        <n v="30556.85"/>
        <n v="27928.23"/>
        <n v="27873.93"/>
        <n v="24824.18"/>
        <n v="22824.18"/>
        <n v="22833.46"/>
        <n v="22795.63"/>
        <n v="22704.11"/>
        <n v="22532.51"/>
        <n v="22446.55"/>
        <n v="22443.64"/>
        <n v="20446.55"/>
        <n v="35473.97"/>
        <n v="35466.63"/>
        <n v="24915.67"/>
        <n v="24902.6"/>
        <n v="20484.17"/>
        <n v="4366.11"/>
        <n v="36989.37"/>
        <n v="36942.33"/>
        <n v="27278.72"/>
        <n v="27125.51"/>
        <n v="20525.49"/>
        <n v="11815.49"/>
        <n v="11792.49"/>
        <n v="11700.39"/>
        <n v="11606.89"/>
        <n v="-4541.18"/>
        <n v="3681.73"/>
        <n v="-949.39"/>
        <n v="3716.89"/>
        <n v="-7472.11"/>
        <n v="417.89"/>
        <n v="667.89"/>
        <n v="525.35"/>
        <n v="430.19"/>
        <n v="314.26"/>
        <n v="209.31"/>
        <n v="159.64"/>
        <n v="118.9"/>
        <n v="98.77"/>
        <n v="538.77"/>
        <n v="638.77"/>
        <n v="647.36"/>
        <n v="531.42"/>
        <n v="415.21"/>
        <n v="358.18"/>
        <n v="267.96"/>
        <n v="211.23"/>
        <n v="68.63"/>
        <n v="8187"/>
        <n v="8082.28"/>
        <n v="219"/>
        <n v="217.09"/>
        <n v="108.38"/>
        <n v="55.02"/>
        <n v="-7825"/>
        <n v="630"/>
        <n v="8881.73"/>
        <n v="8864.52"/>
        <n v="649.9"/>
        <n v="644.9"/>
        <n v="639.9"/>
        <n v="639.89"/>
        <n v="599.73"/>
        <n v="562.25"/>
        <n v="0.9"/>
        <n v="-7799.1"/>
        <n v="5610.9"/>
        <n v="5574.71"/>
        <n v="23825.16"/>
        <n v="36263.71"/>
        <n v="21428.71"/>
        <n v="21400.87"/>
        <n v="21341.99"/>
        <n v="21219.5"/>
        <n v="21107.87"/>
        <n v="20827.36"/>
        <n v="20613.55"/>
        <n v="20559.21"/>
        <n v="20532.06"/>
        <n v="36068.72"/>
        <n v="36066.4"/>
        <n v="26053.49"/>
        <n v="26051.65"/>
        <n v="20570.96"/>
        <n v="29277.24"/>
        <n v="17622.24"/>
        <n v="17615.99"/>
        <n v="15171.52"/>
        <n v="15136.6"/>
        <n v="8937.12"/>
        <n v="17748.29"/>
        <n v="17746.82"/>
        <n v="11390.02"/>
        <n v="11366.23"/>
        <n v="8958.6"/>
        <n v="16760.62"/>
        <n v="16735.62"/>
        <n v="16724.19"/>
        <n v="11735.62"/>
        <n v="23293.25"/>
        <n v="35151.37"/>
        <n v="23546.37"/>
        <n v="16246.22"/>
        <n v="23545.81"/>
        <n v="23052.01"/>
        <n v="22927.85"/>
        <n v="12017.68"/>
        <n v="23775.91"/>
        <n v="31018.51"/>
        <n v="31016.44"/>
        <n v="23792.69"/>
        <n v="23799.02"/>
        <n v="23797.85"/>
        <n v="23702.68"/>
        <n v="23646.53"/>
        <n v="23590.42"/>
        <n v="23583.66"/>
        <n v="15578.66"/>
        <n v="13578.66"/>
        <n v="5878.66"/>
        <n v="5867.74"/>
        <n v="5781.79"/>
        <n v="5731.05"/>
        <n v="5680.38"/>
        <n v="5633.01"/>
        <n v="-9714.66"/>
        <n v="-8113.86"/>
        <n v="-15393.86"/>
        <n v="-1646.99"/>
        <n v="255633.01"/>
        <n v="271059.82"/>
        <n v="255532.06"/>
        <n v="271050.85"/>
        <n v="269371.59"/>
        <n v="269300.98"/>
        <n v="256069.37"/>
        <n v="256027.7"/>
        <n v="255671.62"/>
        <n v="284833.37"/>
        <n v="34845.87"/>
        <n v="42278.42"/>
        <n v="42264.58"/>
        <n v="34863.21"/>
        <n v="34863.17"/>
        <n v="34803.44"/>
        <n v="34747.62"/>
        <n v="34662.18"/>
        <n v="34617.52"/>
        <n v="34593.86"/>
        <n v="34557.86"/>
        <n v="3242.21"/>
        <n v="66130.43"/>
        <n v="80299.14"/>
        <n v="80299.03"/>
        <n v="80231.48"/>
        <n v="80220.62"/>
        <n v="72420.62"/>
        <n v="72410.47"/>
        <n v="65110.32"/>
        <n v="65088.96"/>
        <n v="49741.29"/>
        <n v="49722.15"/>
        <n v="48805.62"/>
        <n v="35975.28"/>
        <n v="35965.14"/>
        <n v="34672.38"/>
        <n v="34665.78"/>
        <n v="34682.82"/>
        <n v="50848.53"/>
        <n v="50831.85"/>
        <n v="44844.61"/>
        <n v="44779.81"/>
        <n v="34723.29"/>
        <n v="6723.29"/>
        <n v="-6783.46"/>
        <n v="-9274.71"/>
        <n v="-15740.84"/>
        <n v="257.16"/>
        <n v="14066.41"/>
        <n v="14057.52"/>
        <n v="8586.28"/>
        <n v="8404.74"/>
        <n v="291.73"/>
        <n v="278.53"/>
        <n v="300.83"/>
        <n v="273.93"/>
        <n v="242.62"/>
        <n v="212.94"/>
        <n v="-13473.9"/>
        <n v="164.52"/>
        <n v="12.94"/>
        <n v="17027.38"/>
        <n v="17005.98"/>
        <n v="55.54"/>
        <n v="7037.41"/>
        <n v="240.41"/>
        <n v="236.16"/>
        <n v="40.41"/>
        <n v="17394.33"/>
        <n v="17391.59"/>
        <n v="11486.72"/>
        <n v="11430.35"/>
        <n v="83.85"/>
        <n v="7715.21"/>
        <n v="105.06"/>
        <n v="100.56"/>
        <n v="45.06"/>
        <n v="43.1"/>
        <n v="-13086.54"/>
        <n v="-11825.91"/>
        <n v="-26813.4"/>
        <n v="-14987.49"/>
        <n v="-15077.54"/>
        <n v="179.54"/>
        <n v="-11826.46"/>
        <n v="-26954.02"/>
        <n v="-11876.48"/>
        <n v="129.52"/>
        <n v="15257.08"/>
        <n v="15249.75"/>
        <n v="13145"/>
        <n v="13017.44"/>
        <n v="38.3"/>
        <n v="15475.11"/>
        <n v="15474.41"/>
        <n v="12455.55"/>
        <n v="12322.33"/>
        <n v="76.95"/>
        <n v="-7778.05"/>
        <n v="23531.71"/>
        <n v="23461.71"/>
        <n v="23460.38"/>
        <n v="22018.92"/>
        <n v="21964.25"/>
        <n v="8877.71"/>
        <n v="8858.52"/>
        <n v="65.67"/>
        <n v="-19043.88"/>
        <n v="-6612.56"/>
        <n v="12496.99"/>
        <n v="12495.61"/>
        <n v="12431.99"/>
        <n v="9532.55"/>
        <n v="9501.24"/>
        <n v="31.79"/>
        <n v="25.19"/>
        <n v="7887.31"/>
        <n v="18861.82"/>
        <n v="18859.26"/>
        <n v="13341.22"/>
        <n v="13309.73"/>
        <n v="11018.33"/>
        <n v="71.29"/>
        <n v="70.01"/>
        <n v="0.29"/>
        <n v="-12216.11"/>
        <n v="125.35"/>
        <n v="12341.46"/>
        <n v="12338.06"/>
        <n v="10568.68"/>
        <n v="10510.27"/>
        <n v="31"/>
        <n v="-10724.38"/>
        <n v="10215.7"/>
        <n v="10211.13"/>
        <n v="8684.4"/>
        <n v="8565.06"/>
        <n v="56.5"/>
        <n v="-11919.49"/>
        <n v="6.5"/>
        <n v="6.54"/>
        <n v="12004.23"/>
        <n v="238.35"/>
        <n v="739.23"/>
        <n v="681.15"/>
        <n v="546.46"/>
        <n v="240.78"/>
        <n v="85.05"/>
        <n v="-12906.71"/>
        <n v="9723.11"/>
        <n v="29796.78"/>
        <n v="3796.78"/>
        <n v="3773.71"/>
        <n v="796.78"/>
        <n v="-10789.01"/>
        <n v="13717.11"/>
        <n v="13705.33"/>
        <n v="10063.26"/>
        <n v="10010.47"/>
        <n v="2155.47"/>
        <n v="2026.99"/>
        <n v="829.13"/>
        <n v="824.98"/>
        <n v="740.03"/>
        <n v="643.2"/>
        <n v="465.3"/>
        <n v="367.02"/>
        <n v="283.25"/>
        <n v="259.05"/>
        <n v="-12407.53"/>
        <n v="13349.12"/>
        <n v="13295.15"/>
        <n v="291.82"/>
        <n v="12034.18"/>
        <n v="24217.64"/>
        <n v="11340.94"/>
        <n v="24216.5"/>
        <n v="19308.14"/>
        <n v="19268.5"/>
        <n v="12504.68"/>
        <n v="25454.96"/>
        <n v="25452.12"/>
        <n v="25450.86"/>
        <n v="19998.57"/>
        <n v="19961.2"/>
        <n v="12537.1"/>
        <n v="24459.19"/>
        <n v="12465.96"/>
        <n v="12165.96"/>
        <n v="12157.47"/>
        <n v="12155.15"/>
        <n v="8823.87"/>
        <n v="8773.83"/>
        <n v="273.72"/>
        <n v="1736.72"/>
        <n v="-10644.47"/>
        <n v="-31000.29"/>
        <n v="-42981.28"/>
        <n v="-10244.27"/>
        <n v="-10029.16"/>
        <n v="-11340.08"/>
        <n v="1191.09"/>
        <n v="14267.89"/>
        <n v="14261.98"/>
        <n v="11086.1"/>
        <n v="11015.12"/>
        <n v="1768.09"/>
        <n v="14873.4"/>
        <n v="1826.62"/>
        <n v="14872.82"/>
        <n v="12353.97"/>
        <n v="12273.2"/>
        <n v="1800.91"/>
        <n v="0.91"/>
        <n v="26280.9"/>
        <n v="26280.34"/>
        <n v="23845.92"/>
        <n v="23770.64"/>
        <n v="12184.85"/>
        <n v="12123.11"/>
        <n v="66.71"/>
        <n v="69.35"/>
        <n v="-13217.56"/>
        <n v="69.07"/>
        <n v="21.25"/>
        <n v="12101.82"/>
        <n v="12101.54"/>
        <n v="11491.36"/>
        <n v="11485.39"/>
        <n v="30.4"/>
        <n v="13400.04"/>
        <n v="25738.87"/>
        <n v="25738.54"/>
        <n v="24316.83"/>
        <n v="24297.9"/>
        <n v="12402.7"/>
        <n v="-884.21"/>
        <n v="12527.7"/>
        <n v="25007.46"/>
        <n v="38387.09"/>
        <n v="38386.31"/>
        <n v="37900.32"/>
        <n v="37748.49"/>
        <n v="25040.96"/>
        <n v="37262.36"/>
        <n v="49843.46"/>
        <n v="49829.51"/>
        <n v="37293.86"/>
        <n v="39554.86"/>
        <n v="27572.63"/>
        <n v="10524.11"/>
        <n v="27564.05"/>
        <n v="44848.08"/>
        <n v="44841.12"/>
        <n v="37347.29"/>
        <n v="37272.23"/>
        <n v="27607.32"/>
        <n v="27604.32"/>
        <n v="14627.57"/>
        <n v="41323.44"/>
        <n v="41320.21"/>
        <n v="39004.13"/>
        <n v="38919.5"/>
        <n v="27638.67"/>
        <n v="14641.91"/>
        <n v="15362.53"/>
        <n v="-2046.17"/>
        <n v="10229.97"/>
        <n v="45791.4"/>
        <n v="58991.31"/>
        <n v="71871.96"/>
        <n v="71871.18"/>
        <n v="71386.13"/>
        <n v="71283.06"/>
        <n v="58206.26"/>
        <n v="58106.33"/>
        <n v="53764.68"/>
        <n v="45059.55"/>
        <n v="44964.06"/>
        <n v="40597.82"/>
        <n v="31677.15"/>
        <n v="31592.47"/>
        <n v="31512.38"/>
        <n v="27749.42"/>
        <n v="27746.13"/>
        <n v="27743.92"/>
        <n v="27676.18"/>
        <n v="27616.91"/>
        <n v="27577.78"/>
        <n v="27562.72"/>
        <n v="27551.33"/>
        <n v="27535.17"/>
        <n v="27499.47"/>
        <n v="27496.47"/>
        <n v="15130.29"/>
        <n v="-3539.04"/>
        <n v="8827.14"/>
        <n v="45229.83"/>
        <n v="45207.18"/>
        <n v="45191.71"/>
        <n v="35667.76"/>
        <n v="35645.11"/>
        <n v="35617.45"/>
        <n v="27540.87"/>
        <n v="27537.87"/>
        <n v="14781.49"/>
        <n v="27458.24"/>
        <n v="27378.61"/>
        <n v="27328.69"/>
        <n v="27235.38"/>
        <n v="27142.03"/>
        <n v="27053.72"/>
        <n v="26928.48"/>
        <n v="26848.12"/>
        <n v="26726.88"/>
        <n v="26723.92"/>
        <n v="34223.92"/>
        <n v="47344.21"/>
        <n v="47307.21"/>
        <n v="47270.21"/>
        <n v="47247.33"/>
        <n v="38275.39"/>
        <n v="38242.28"/>
        <n v="34256.77"/>
        <n v="34221.07"/>
        <n v="34210.84"/>
        <n v="34200.61"/>
        <n v="34194.34"/>
        <n v="28221.07"/>
        <n v="15494.71"/>
        <n v="12553.24"/>
        <n v="41251.49"/>
        <n v="57217.5"/>
        <n v="70337.79"/>
        <n v="70321.11"/>
        <n v="70304.43"/>
        <n v="70300.93"/>
        <n v="67282.96"/>
        <n v="67225.74"/>
        <n v="57339.99"/>
        <n v="54228.98"/>
        <n v="54174.86"/>
        <n v="41898.72"/>
        <n v="41821.96"/>
        <n v="41413.95"/>
        <n v="28326.51"/>
        <n v="28323.51"/>
        <n v="28252.11"/>
        <n v="15525.75"/>
        <n v="28273.97"/>
        <n v="41304.39"/>
        <n v="41275.03"/>
        <n v="41245.67"/>
        <n v="41237.48"/>
        <n v="37324.23"/>
        <n v="37243.87"/>
        <n v="28306.59"/>
        <n v="28303.24"/>
        <n v="28299.89"/>
        <n v="28299.09"/>
        <n v="28173.52"/>
        <n v="28087.68"/>
        <n v="28052.28"/>
        <n v="28012.34"/>
        <n v="27997.59"/>
        <n v="27961.89"/>
        <n v="15235.53"/>
        <n v="24961.89"/>
        <n v="38083.75"/>
        <n v="38048.05"/>
        <n v="25321.69"/>
        <n v="37942.65"/>
        <n v="37837.25"/>
        <n v="37811.73"/>
        <n v="37673.17"/>
        <n v="37578.46"/>
        <n v="37484.05"/>
        <n v="37367.82"/>
        <n v="37273.41"/>
        <n v="37196.7"/>
        <n v="37193.75"/>
        <n v="38292.75"/>
        <n v="38286"/>
        <n v="38279.25"/>
        <n v="38277.65"/>
        <n v="37092.75"/>
        <n v="21695.05"/>
        <n v="24726.57"/>
        <n v="31572.75"/>
        <n v="15684.81"/>
        <n v="25057.62"/>
        <n v="28085.62"/>
        <n v="44304.35"/>
        <n v="50952.57"/>
        <n v="39887.57"/>
        <n v="39806.26"/>
        <n v="39724.95"/>
        <n v="39712.47"/>
        <n v="37468.47"/>
        <n v="37355.89"/>
        <n v="25887.57"/>
        <n v="25875.67"/>
        <n v="42204.25"/>
        <n v="42186.92"/>
        <n v="42169.59"/>
        <n v="42161.24"/>
        <n v="42069.48"/>
        <n v="41978.03"/>
        <n v="41865.46"/>
        <n v="41774.01"/>
        <n v="41682.56"/>
        <n v="41591.11"/>
        <n v="41501.86"/>
        <n v="41435.85"/>
        <n v="41373.14"/>
        <n v="62041.68"/>
        <n v="62034.7"/>
        <n v="62027.72"/>
        <n v="62024.38"/>
        <n v="54823.37"/>
        <n v="54817.45"/>
        <n v="42061.07"/>
        <n v="42055.17"/>
        <n v="41424.89"/>
        <n v="41396.39"/>
        <n v="41385.89"/>
        <n v="41319.39"/>
        <n v="41294.89"/>
        <n v="53787.38"/>
        <n v="53773.41"/>
        <n v="53759.44"/>
        <n v="53748.2"/>
        <n v="41652.12"/>
        <n v="41630.33"/>
        <n v="25962.5"/>
        <n v="25944.8"/>
        <n v="25787.38"/>
        <n v="9379.18"/>
        <n v="9899.44"/>
        <n v="39298.85"/>
        <n v="39298.35"/>
        <n v="39324.91"/>
        <n v="55700.31"/>
        <n v="55639.02"/>
        <n v="43070.08"/>
        <n v="42990.43"/>
        <n v="39365.91"/>
        <n v="39363.8"/>
        <n v="39281.2"/>
        <n v="39181.24"/>
        <n v="39100.88"/>
        <n v="38997.6"/>
        <n v="38940.47"/>
        <n v="38922.02"/>
        <n v="38844.53"/>
        <n v="38767.04"/>
        <n v="55545.03"/>
        <n v="55538.7"/>
        <n v="46436.86"/>
        <n v="46428.01"/>
        <n v="33701.65"/>
        <n v="33690.94"/>
        <n v="25545.03"/>
        <n v="9176.85"/>
        <n v="5535.03"/>
        <n v="25329.03"/>
        <n v="25113.03"/>
        <n v="25062.62"/>
        <n v="24967.92"/>
        <n v="24846.2"/>
        <n v="24720.52"/>
        <n v="24598.8"/>
        <n v="24476.15"/>
        <n v="24378.01"/>
        <n v="4968.31"/>
        <n v="5718.68"/>
        <n v="45496.28"/>
        <n v="45412.27"/>
        <n v="38160.48"/>
        <n v="38016.99"/>
        <n v="25650.81"/>
        <n v="25466.4"/>
        <n v="24430.98"/>
        <n v="24453.25"/>
        <n v="24425.72"/>
        <n v="9448.01"/>
        <n v="9140.36"/>
        <n v="12256.36"/>
        <n v="-7649.61"/>
        <n v="11767.87"/>
        <n v="11224.69"/>
        <n v="9390.36"/>
        <n v="-9665.36"/>
        <n v="10781.36"/>
        <n v="10124.32"/>
        <n v="9141.36"/>
        <n v="9153.13"/>
        <n v="9144.59"/>
        <n v="410.76"/>
        <n v="1910.76"/>
        <n v="1338.25"/>
        <n v="20434.69"/>
        <n v="20428.23"/>
        <n v="6503.2"/>
        <n v="6045.96"/>
        <n v="464.99"/>
        <n v="426.99"/>
        <n v="21149.98"/>
        <n v="21136.69"/>
        <n v="6811.69"/>
        <n v="5977.07"/>
        <n v="482.98"/>
        <n v="444.98"/>
        <n v="13506.9"/>
        <n v="13504.37"/>
        <n v="2590.26"/>
        <n v="2188.04"/>
        <n v="479.22"/>
        <n v="456.42"/>
        <n v="19107.74"/>
        <n v="19099.7"/>
        <n v="1752.8"/>
        <n v="886.28"/>
        <n v="507.74"/>
        <n v="-11917.26"/>
        <n v="2219.74"/>
        <n v="-9115.49"/>
        <n v="2223.88"/>
        <n v="2198.69"/>
        <n v="423.88"/>
        <n v="420.69"/>
        <n v="13442.71"/>
        <n v="26594.54"/>
        <n v="26581.8"/>
        <n v="13596.84"/>
        <n v="12847.21"/>
        <n v="12553.77"/>
        <n v="12164.65"/>
        <n v="479.52"/>
        <n v="433.92"/>
        <n v="11797.31"/>
        <n v="11794.58"/>
        <n v="11793.38"/>
        <n v="9194.66"/>
        <n v="7971.23"/>
        <n v="463.06"/>
        <n v="-11931.94"/>
        <n v="13465.04"/>
        <n v="13459.55"/>
        <n v="13447.95"/>
        <n v="946.12"/>
        <n v="513.14"/>
        <n v="497.12"/>
        <n v="474.32"/>
        <n v="14135.64"/>
        <n v="1140.64"/>
        <n v="14771.99"/>
        <n v="27766.99"/>
        <n v="27764.24"/>
        <n v="27755.7"/>
        <n v="14141.71"/>
        <n v="9344.98"/>
        <n v="8292.81"/>
        <n v="546.31"/>
        <n v="523.51"/>
        <n v="-12441.49"/>
        <n v="14574.44"/>
        <n v="14474.44"/>
        <n v="14459.27"/>
        <n v="14431.43"/>
        <n v="3518.6"/>
        <n v="3440.82"/>
        <n v="460.72"/>
        <n v="437.92"/>
        <n v="-12767.08"/>
        <n v="-25642.08"/>
        <n v="-12437.08"/>
        <n v="-11837.08"/>
        <n v="-10997.08"/>
        <n v="12420.92"/>
        <n v="12408.42"/>
        <n v="12388.9"/>
        <n v="3044"/>
        <n v="2954.59"/>
        <n v="468.92"/>
        <n v="467.53"/>
        <n v="465.48"/>
        <n v="12993.16"/>
        <n v="26204.93"/>
        <n v="26195.15"/>
        <n v="26180.79"/>
        <n v="17331.23"/>
        <n v="17296.92"/>
        <n v="13655.43"/>
        <n v="4901.92"/>
        <n v="4817.58"/>
        <n v="478.35"/>
        <n v="455.55"/>
        <n v="-12119.45"/>
        <n v="-11489.45"/>
        <n v="-10889.45"/>
        <n v="-18300.08"/>
        <n v="423.9"/>
        <n v="19685.67"/>
        <n v="579.94"/>
        <n v="19671.85"/>
        <n v="19618.66"/>
        <n v="10962.89"/>
        <n v="10803.44"/>
        <n v="462.97"/>
        <n v="417.37"/>
        <n v="12310.46"/>
        <n v="31535.43"/>
        <n v="21683.36"/>
        <n v="21538.08"/>
        <n v="19673.07"/>
        <n v="19668.96"/>
        <n v="19667.13"/>
        <n v="17042.6"/>
        <n v="16883.41"/>
        <n v="3678.41"/>
        <n v="3523"/>
        <n v="500.07"/>
        <n v="469.67"/>
        <n v="12962.16"/>
        <n v="26084.02"/>
        <n v="26057.49"/>
        <n v="15647.5"/>
        <n v="15488.5"/>
        <n v="13624.06"/>
        <n v="4053.5"/>
        <n v="3930.92"/>
        <n v="536.62"/>
        <n v="14317.82"/>
        <n v="14315.69"/>
        <n v="5134.99"/>
        <n v="5024.19"/>
        <n v="573.02"/>
        <n v="573.43"/>
        <n v="562.99"/>
        <n v="455.16"/>
        <n v="15540.6"/>
        <n v="15537.12"/>
        <n v="8043.29"/>
        <n v="8038.03"/>
        <n v="451.3"/>
        <n v="17588.99"/>
        <n v="17588.12"/>
        <n v="13829.85"/>
        <n v="13713.3"/>
        <n v="497.63"/>
        <n v="-21236.89"/>
        <n v="11636.63"/>
        <n v="11605.87"/>
        <n v="6065.91"/>
        <n v="5853.27"/>
        <n v="526.06"/>
        <n v="-10398.94"/>
        <n v="436.06"/>
        <n v="423.26"/>
        <n v="355.32"/>
        <n v="320.76"/>
        <n v="-10380.24"/>
        <n v="-12794.24"/>
        <n v="-25249.24"/>
        <n v="-12134.24"/>
        <n v="-10170.24"/>
        <n v="-20451.24"/>
        <n v="-9960.24"/>
        <n v="10801.76"/>
        <n v="520.76"/>
        <n v="10747.41"/>
        <n v="347.32"/>
        <n v="-9723.68"/>
        <n v="-9373.68"/>
        <n v="-12167.68"/>
        <n v="-2176.68"/>
        <n v="10338.32"/>
        <n v="10330.51"/>
        <n v="6952.08"/>
        <n v="6917.36"/>
        <n v="6740.23"/>
        <n v="372.31"/>
        <n v="13434.23"/>
        <n v="13432.94"/>
        <n v="13429.38"/>
        <n v="406.55"/>
        <n v="405.26"/>
        <n v="404.72"/>
        <n v="326.23"/>
        <n v="10577.76"/>
        <n v="10570.07"/>
        <n v="10566.82"/>
        <n v="8223.05"/>
        <n v="8207.86"/>
        <n v="346.65"/>
        <n v="-9710.35"/>
        <n v="-9262.35"/>
        <n v="-12078.35"/>
        <n v="13378.59"/>
        <n v="983.59"/>
        <n v="13363.54"/>
        <n v="13355.02"/>
        <n v="10291.23"/>
        <n v="10180.12"/>
        <n v="380.79"/>
        <n v="13382.77"/>
        <n v="13381.59"/>
        <n v="13381.38"/>
        <n v="12479.71"/>
        <n v="12345.93"/>
        <n v="414.85"/>
        <n v="-5830.15"/>
        <n v="-6235.75"/>
        <n v="9.25"/>
        <n v="6509.74"/>
        <n v="16388.74"/>
        <n v="16380.62"/>
        <n v="16378.72"/>
        <n v="15194.8"/>
        <n v="15047.42"/>
        <n v="9902.79"/>
        <n v="2592.42"/>
        <n v="2473.27"/>
        <n v="48.44"/>
        <n v="48.77"/>
        <n v="-11926.23"/>
        <n v="656.17"/>
        <n v="12631.17"/>
        <n v="12630.09"/>
        <n v="12628.22"/>
        <n v="4562.05"/>
        <n v="4442.96"/>
        <n v="81.57"/>
        <n v="80.48"/>
        <n v="79.11"/>
        <n v="-11735"/>
        <n v="-10861.8"/>
        <n v="11114.2"/>
        <n v="11102.4"/>
        <n v="11087.31"/>
        <n v="5167.7"/>
        <n v="5125.36"/>
        <n v="28.46"/>
        <n v="-10456.54"/>
        <n v="4.86"/>
        <n v="12312.67"/>
        <n v="12277.2"/>
        <n v="12213.64"/>
        <n v="7029.54"/>
        <n v="6779.33"/>
        <n v="32.09"/>
        <n v="-14309.91"/>
        <n v="14898.69"/>
        <n v="14894.07"/>
        <n v="11570.31"/>
        <n v="11322.63"/>
        <n v="1601.63"/>
        <n v="1299.88"/>
        <n v="71.7"/>
        <n v="13313.44"/>
        <n v="13295.11"/>
        <n v="2008.29"/>
        <n v="1779.81"/>
        <n v="106.48"/>
        <n v="3423.48"/>
        <n v="3419.6"/>
        <n v="23.48"/>
        <n v="-12251.52"/>
        <n v="23.6"/>
        <n v="10.86"/>
        <n v="12852.13"/>
        <n v="7864.58"/>
        <n v="7639.07"/>
        <n v="33.71"/>
        <n v="433.71"/>
        <n v="-11811.29"/>
        <n v="11324.71"/>
        <n v="11323.33"/>
        <n v="9319.69"/>
        <n v="9008.62"/>
        <n v="461.4"/>
        <m/>
      </sharedItems>
    </cacheField>
    <cacheField name="证券数量" numFmtId="0">
      <sharedItems containsString="0" containsBlank="1" containsNumber="1" containsInteger="1" minValue="0" maxValue="124300" count="125">
        <n v="1500"/>
        <n v="23100"/>
        <n v="2000"/>
        <n v="800"/>
        <n v="3900"/>
        <n v="500"/>
        <n v="0"/>
        <n v="4900"/>
        <n v="3000"/>
        <n v="708"/>
        <n v="1000"/>
        <n v="4000"/>
        <n v="5000"/>
        <n v="23454"/>
        <n v="6000"/>
        <n v="3500"/>
        <n v="2500"/>
        <n v="100"/>
        <n v="300"/>
        <n v="71634"/>
        <n v="1900"/>
        <n v="400"/>
        <n v="900"/>
        <n v="1300"/>
        <n v="7000"/>
        <n v="7400"/>
        <n v="1482"/>
        <n v="2250"/>
        <n v="12400"/>
        <n v="81634"/>
        <n v="91634"/>
        <n v="9400"/>
        <n v="106234"/>
        <n v="2400"/>
        <n v="122900"/>
        <n v="3836"/>
        <n v="5036"/>
        <n v="6036"/>
        <n v="5536"/>
        <n v="7036"/>
        <n v="8036"/>
        <n v="9036"/>
        <n v="10036"/>
        <n v="11036"/>
        <n v="9536"/>
        <n v="4536"/>
        <n v="101634"/>
        <n v="10536"/>
        <n v="4500"/>
        <n v="5500"/>
        <n v="10000"/>
        <n v="9000"/>
        <n v="8000"/>
        <n v="100000"/>
        <n v="50000"/>
        <n v="9500"/>
        <n v="8500"/>
        <n v="6500"/>
        <n v="12000"/>
        <n v="14000"/>
        <n v="16000"/>
        <n v="8700"/>
        <n v="19000"/>
        <n v="17000"/>
        <n v="21000"/>
        <n v="11300"/>
        <n v="26800"/>
        <n v="24800"/>
        <n v="28800"/>
        <n v="17300"/>
        <n v="14700"/>
        <n v="11600"/>
        <n v="5100"/>
        <n v="8800"/>
        <n v="16300"/>
        <n v="7500"/>
        <n v="2800"/>
        <n v="2600"/>
        <n v="27800"/>
        <n v="21800"/>
        <n v="18800"/>
        <n v="15000"/>
        <n v="35000"/>
        <n v="4800"/>
        <n v="20000"/>
        <n v="1600"/>
        <n v="37400"/>
        <n v="12500"/>
        <n v="13000"/>
        <n v="30000"/>
        <n v="2501"/>
        <n v="2502"/>
        <n v="2503"/>
        <n v="31200"/>
        <n v="7700"/>
        <n v="22000"/>
        <n v="17500"/>
        <n v="15400"/>
        <n v="25000"/>
        <n v="28000"/>
        <n v="200"/>
        <n v="15700"/>
        <n v="15500"/>
        <n v="29000"/>
        <n v="10700"/>
        <n v="26000"/>
        <n v="31000"/>
        <n v="36000"/>
        <n v="41000"/>
        <n v="46000"/>
        <n v="1800"/>
        <n v="33000"/>
        <n v="27000"/>
        <n v="39000"/>
        <n v="44000"/>
        <n v="24000"/>
        <n v="42000"/>
        <n v="56000"/>
        <n v="70000"/>
        <n v="84000"/>
        <n v="98000"/>
        <n v="28600"/>
        <n v="100400"/>
        <n v="124300"/>
        <m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4748.6857175926" refreshedBy="D" recordCount="4695">
  <cacheSource type="worksheet">
    <worksheetSource ref="A1:A1" sheet="Sheet17"/>
  </cacheSource>
  <cacheFields count="3">
    <cacheField name="成交日期" numFmtId="0">
      <sharedItems containsBlank="1" containsNumber="1" containsInteger="1" containsMixedTypes="1" count="1451">
        <n v="20220104"/>
        <n v="20220105"/>
        <n v="20220106"/>
        <n v="20220107"/>
        <n v="20220110"/>
        <n v="20220111"/>
        <n v="20220112"/>
        <n v="20220113"/>
        <n v="20220114"/>
        <n v="20220117"/>
        <n v="20220118"/>
        <n v="20220119"/>
        <n v="20220120"/>
        <n v="20220121"/>
        <n v="20220124"/>
        <n v="20220125"/>
        <n v="20220126"/>
        <n v="20220127"/>
        <n v="20220128"/>
        <n v="20220207"/>
        <n v="20220208"/>
        <n v="20220209"/>
        <n v="20220210"/>
        <n v="20220211"/>
        <n v="20220214"/>
        <n v="20220215"/>
        <n v="20220216"/>
        <n v="20220217"/>
        <n v="20220218"/>
        <n v="20220221"/>
        <n v="20220222"/>
        <n v="20220223"/>
        <n v="20220224"/>
        <n v="20220225"/>
        <n v="20220228"/>
        <n v="20220301"/>
        <n v="20220302"/>
        <n v="20220303"/>
        <n v="20220304"/>
        <n v="20220307"/>
        <n v="20220308"/>
        <n v="20220309"/>
        <n v="20220310"/>
        <n v="20220311"/>
        <n v="20220314"/>
        <n v="20220315"/>
        <n v="20220316"/>
        <n v="20220317"/>
        <n v="20220318"/>
        <n v="20220321"/>
        <n v="20220322"/>
        <n v="20220323"/>
        <n v="20220324"/>
        <n v="20220325"/>
        <n v="20220328"/>
        <n v="20220329"/>
        <n v="20220330"/>
        <n v="20220331"/>
        <n v="20220401"/>
        <n v="20220406"/>
        <n v="20220407"/>
        <n v="20220408"/>
        <n v="20220411"/>
        <n v="20220412"/>
        <n v="20220413"/>
        <n v="20220414"/>
        <n v="20220419"/>
        <n v="20220420"/>
        <n v="20220421"/>
        <n v="20220422"/>
        <n v="20220425"/>
        <n v="20220426"/>
        <n v="20220427"/>
        <n v="20220428"/>
        <n v="20220429"/>
        <n v="20220505"/>
        <n v="20220506"/>
        <n v="20220510"/>
        <n v="20220511"/>
        <n v="20220512"/>
        <n v="20220513"/>
        <n v="20220516"/>
        <n v="20220517"/>
        <n v="20220518"/>
        <n v="20220519"/>
        <n v="20220520"/>
        <n v="20220523"/>
        <n v="20220524"/>
        <n v="20220525"/>
        <n v="20220526"/>
        <n v="20220527"/>
        <n v="20220530"/>
        <n v="20220531"/>
        <n v="20220601"/>
        <n v="20220602"/>
        <n v="20220606"/>
        <n v="20220607"/>
        <n v="20220608"/>
        <n v="20220609"/>
        <n v="20220610"/>
        <n v="20220613"/>
        <n v="20220614"/>
        <n v="20220615"/>
        <n v="20220616"/>
        <n v="20220617"/>
        <n v="20220620"/>
        <n v="20220621"/>
        <n v="20220622"/>
        <n v="20220623"/>
        <n v="20220624"/>
        <n v="20220627"/>
        <n v="20220628"/>
        <n v="20220629"/>
        <n v="20220630"/>
        <s v="20110708"/>
        <s v="20110711"/>
        <s v="20110714"/>
        <s v="20110718"/>
        <s v="20110725"/>
        <s v="20110805"/>
        <s v="20110810"/>
        <s v="20110811"/>
        <s v="20110812"/>
        <s v="20110818"/>
        <s v="20110823"/>
        <s v="20110826"/>
        <s v="20110920"/>
        <s v="20110921"/>
        <s v="20110922"/>
        <s v="20111010"/>
        <s v="20111013"/>
        <s v="20111014"/>
        <s v="20111019"/>
        <s v="20111101"/>
        <s v="20111104"/>
        <s v="20111122"/>
        <s v="20111220"/>
        <s v="20111221"/>
        <s v="20120305"/>
        <s v="20120308"/>
        <s v="20120312"/>
        <s v="20120313"/>
        <s v="20120320"/>
        <s v="20120608"/>
        <s v="20120618"/>
        <s v="20120620"/>
        <s v="20120920"/>
        <s v="20121220"/>
        <s v="20121228"/>
        <s v="20130110"/>
        <s v="20130225"/>
        <s v="20130320"/>
        <s v="20130520"/>
        <s v="20130613"/>
        <s v="20130618"/>
        <s v="20130620"/>
        <s v="20130626"/>
        <s v="20130716"/>
        <s v="20130724"/>
        <s v="20130802"/>
        <s v="20130805"/>
        <s v="20130809"/>
        <s v="20130812"/>
        <s v="20130819"/>
        <s v="20130821"/>
        <s v="20130826"/>
        <s v="20130829"/>
        <s v="20130830"/>
        <s v="20130902"/>
        <s v="20130904"/>
        <s v="20130910"/>
        <s v="20130911"/>
        <s v="20130913"/>
        <s v="20130918"/>
        <s v="20130923"/>
        <s v="20130924"/>
        <s v="20130925"/>
        <s v="20130926"/>
        <s v="20131008"/>
        <s v="20131009"/>
        <s v="20131015"/>
        <s v="20131016"/>
        <s v="20131021"/>
        <s v="20131022"/>
        <s v="20131023"/>
        <s v="20131024"/>
        <s v="20131029"/>
        <s v="20131101"/>
        <s v="20131107"/>
        <s v="20131111"/>
        <s v="20131112"/>
        <s v="20131113"/>
        <s v="20131115"/>
        <s v="20131118"/>
        <s v="20131119"/>
        <s v="20131121"/>
        <s v="20131126"/>
        <s v="20131127"/>
        <s v="20131128"/>
        <s v="20131129"/>
        <s v="20131203"/>
        <s v="20131220"/>
        <s v="20140129"/>
        <s v="20140318"/>
        <s v="20140320"/>
        <s v="20140321"/>
        <s v="20140521"/>
        <s v="20140529"/>
        <s v="20140616"/>
        <s v="20140617"/>
        <s v="20140619"/>
        <s v="20140620"/>
        <s v="20140627"/>
        <s v="20140714"/>
        <s v="20140718"/>
        <s v="20140722"/>
        <s v="20140723"/>
        <s v="20140724"/>
        <s v="20140725"/>
        <s v="20140728"/>
        <s v="20140729"/>
        <s v="20140730"/>
        <s v="20140801"/>
        <s v="20140813"/>
        <s v="20140814"/>
        <s v="20140815"/>
        <s v="20140818"/>
        <s v="20140819"/>
        <s v="20140821"/>
        <s v="20140822"/>
        <s v="20140825"/>
        <s v="20140826"/>
        <s v="20140827"/>
        <s v="20140828"/>
        <s v="20140829"/>
        <s v="20140902"/>
        <s v="20140903"/>
        <s v="20140904"/>
        <s v="20140905"/>
        <s v="20140915"/>
        <s v="20140916"/>
        <s v="20140917"/>
        <s v="20140918"/>
        <s v="20140919"/>
        <s v="20140922"/>
        <s v="20140923"/>
        <s v="20140924"/>
        <s v="20140925"/>
        <s v="20140926"/>
        <s v="20141008"/>
        <s v="20141010"/>
        <s v="20141013"/>
        <s v="20141014"/>
        <s v="20141015"/>
        <s v="20141016"/>
        <s v="20141017"/>
        <s v="20141020"/>
        <s v="20141021"/>
        <s v="20141022"/>
        <s v="20141023"/>
        <s v="20141030"/>
        <s v="20141105"/>
        <s v="20141106"/>
        <s v="20141107"/>
        <s v="20141110"/>
        <s v="20141111"/>
        <s v="20141113"/>
        <s v="20141119"/>
        <s v="20141120"/>
        <s v="20141124"/>
        <s v="20141125"/>
        <s v="20141127"/>
        <s v="20141128"/>
        <s v="20141203"/>
        <s v="20141205"/>
        <s v="20141208"/>
        <s v="20141209"/>
        <s v="20141210"/>
        <s v="20141211"/>
        <s v="20141212"/>
        <s v="20141216"/>
        <s v="20141219"/>
        <s v="20141222"/>
        <s v="20141223"/>
        <s v="20141224"/>
        <s v="20141226"/>
        <s v="20141230"/>
        <s v="20150105"/>
        <s v="20150106"/>
        <s v="20150107"/>
        <s v="20150114"/>
        <s v="20150116"/>
        <s v="20150123"/>
        <s v="20150129"/>
        <s v="20150202"/>
        <s v="20150203"/>
        <s v="20150205"/>
        <s v="20150209"/>
        <s v="20150210"/>
        <s v="20150211"/>
        <s v="20150212"/>
        <s v="20150213"/>
        <s v="20150216"/>
        <s v="20150217"/>
        <s v="20150226"/>
        <s v="20150303"/>
        <s v="20150305"/>
        <s v="20150306"/>
        <s v="20150309"/>
        <s v="20150310"/>
        <s v="20150311"/>
        <s v="20150312"/>
        <s v="20150313"/>
        <s v="20150316"/>
        <s v="20150318"/>
        <s v="20150319"/>
        <s v="20150320"/>
        <s v="20150401"/>
        <s v="20150403"/>
        <s v="20150428"/>
        <s v="20150430"/>
        <s v="20150519"/>
        <s v="20150520"/>
        <s v="20150527"/>
        <s v="20150528"/>
        <s v="20150529"/>
        <s v="20150601"/>
        <s v="20150602"/>
        <s v="20150604"/>
        <s v="20150605"/>
        <s v="20150608"/>
        <s v="20150609"/>
        <s v="20150615"/>
        <s v="20150616"/>
        <s v="20150617"/>
        <s v="20150618"/>
        <s v="20150619"/>
        <s v="20150623"/>
        <s v="20150625"/>
        <s v="20150626"/>
        <s v="20150629"/>
        <s v="20150630"/>
        <s v="20150701"/>
        <s v="20150702"/>
        <s v="20150703"/>
        <s v="20150706"/>
        <s v="20150707"/>
        <s v="20150708"/>
        <s v="20150709"/>
        <s v="20150710"/>
        <s v="20150713"/>
        <s v="20150714"/>
        <s v="20150715"/>
        <s v="20150716"/>
        <s v="20150717"/>
        <s v="20150720"/>
        <s v="20150721"/>
        <s v="20150722"/>
        <s v="20150723"/>
        <s v="20150724"/>
        <s v="20150727"/>
        <s v="20150728"/>
        <s v="20150729"/>
        <s v="20150730"/>
        <s v="20150731"/>
        <s v="20150803"/>
        <s v="20150804"/>
        <s v="20150805"/>
        <s v="20150806"/>
        <s v="20150807"/>
        <s v="20150810"/>
        <s v="20150811"/>
        <s v="20150812"/>
        <s v="20150813"/>
        <s v="20150814"/>
        <s v="20150817"/>
        <s v="20150821"/>
        <s v="20150825"/>
        <s v="20150826"/>
        <s v="20150827"/>
        <s v="20150828"/>
        <s v="20150831"/>
        <s v="20150901"/>
        <s v="20150902"/>
        <s v="20150907"/>
        <s v="20150909"/>
        <s v="20150911"/>
        <s v="20150914"/>
        <s v="20150915"/>
        <s v="20150917"/>
        <s v="20150918"/>
        <s v="20150921"/>
        <s v="20150923"/>
        <s v="20150924"/>
        <s v="20150930"/>
        <s v="20151008"/>
        <s v="20151012"/>
        <s v="20151013"/>
        <s v="20151016"/>
        <s v="20151019"/>
        <s v="20151020"/>
        <s v="20151021"/>
        <s v="20151022"/>
        <s v="20151028"/>
        <s v="20151102"/>
        <s v="20151103"/>
        <s v="20151109"/>
        <s v="20151110"/>
        <s v="20151113"/>
        <s v="20151127"/>
        <s v="20151208"/>
        <s v="20151209"/>
        <s v="20151210"/>
        <s v="20151211"/>
        <s v="20151215"/>
        <s v="20151216"/>
        <s v="20151218"/>
        <s v="20151221"/>
        <s v="20151222"/>
        <s v="20151223"/>
        <s v="20151224"/>
        <s v="20151228"/>
        <s v="20151229"/>
        <s v="20151230"/>
        <s v="20151231"/>
        <s v="20160104"/>
        <s v="20160105"/>
        <s v="20160108"/>
        <s v="20160111"/>
        <s v="20160112"/>
        <s v="20160114"/>
        <s v="20160115"/>
        <s v="20160118"/>
        <s v="20160122"/>
        <s v="20160127"/>
        <s v="20160201"/>
        <s v="20160202"/>
        <s v="20160203"/>
        <s v="20160204"/>
        <s v="20160205"/>
        <s v="20160219"/>
        <s v="20160222"/>
        <s v="20160223"/>
        <s v="20160224"/>
        <s v="20160225"/>
        <s v="20160226"/>
        <s v="20160301"/>
        <s v="20160303"/>
        <s v="20160304"/>
        <s v="20160308"/>
        <s v="20160309"/>
        <s v="20160314"/>
        <s v="20160321"/>
        <s v="20160325"/>
        <s v="20160401"/>
        <s v="20160412"/>
        <s v="20160413"/>
        <s v="20160414"/>
        <s v="20160415"/>
        <s v="20160418"/>
        <s v="20160420"/>
        <s v="20160421"/>
        <s v="20160422"/>
        <s v="20160425"/>
        <s v="20160503"/>
        <s v="20160509"/>
        <s v="20160511"/>
        <s v="20160512"/>
        <s v="20160513"/>
        <s v="20160516"/>
        <s v="20160519"/>
        <s v="20160520"/>
        <s v="20160523"/>
        <s v="20160531"/>
        <s v="20160603"/>
        <s v="20160613"/>
        <s v="20160620"/>
        <s v="20160621"/>
        <s v="20160622"/>
        <s v="20160623"/>
        <s v="20160624"/>
        <s v="20160627"/>
        <s v="20160628"/>
        <s v="20160629"/>
        <s v="20160630"/>
        <s v="20160701"/>
        <s v="20160704"/>
        <s v="20160705"/>
        <s v="20160706"/>
        <s v="20160707"/>
        <s v="20160708"/>
        <s v="20160711"/>
        <s v="20160712"/>
        <s v="20160714"/>
        <s v="20160715"/>
        <s v="20160718"/>
        <s v="20160719"/>
        <s v="20160720"/>
        <s v="20160722"/>
        <s v="20160726"/>
        <s v="20160727"/>
        <s v="20160728"/>
        <s v="20160729"/>
        <s v="20160801"/>
        <s v="20160803"/>
        <s v="20160804"/>
        <s v="20160805"/>
        <s v="20160808"/>
        <s v="20160810"/>
        <s v="20160811"/>
        <s v="20160815"/>
        <s v="20160816"/>
        <s v="20160817"/>
        <s v="20160818"/>
        <s v="20160822"/>
        <s v="20160824"/>
        <s v="20160825"/>
        <s v="20160826"/>
        <s v="20160829"/>
        <s v="20160830"/>
        <s v="20160831"/>
        <s v="20160901"/>
        <s v="20160902"/>
        <s v="20160905"/>
        <s v="20160906"/>
        <s v="20160907"/>
        <s v="20160909"/>
        <s v="20160912"/>
        <s v="20160920"/>
        <s v="20160923"/>
        <s v="20161017"/>
        <s v="20161019"/>
        <s v="20161024"/>
        <s v="20161025"/>
        <s v="20161026"/>
        <s v="20161027"/>
        <s v="20161028"/>
        <s v="20161103"/>
        <s v="20161104"/>
        <s v="20161108"/>
        <s v="20161109"/>
        <s v="20161110"/>
        <s v="20161111"/>
        <s v="20161114"/>
        <s v="20161115"/>
        <s v="20161116"/>
        <s v="20161117"/>
        <s v="20161118"/>
        <s v="20161121"/>
        <s v="20161122"/>
        <s v="20161123"/>
        <s v="20161124"/>
        <s v="20161125"/>
        <s v="20161129"/>
        <s v="20161130"/>
        <s v="20161201"/>
        <s v="20161202"/>
        <s v="20161205"/>
        <s v="20161206"/>
        <s v="20161207"/>
        <s v="20161213"/>
        <s v="20161215"/>
        <s v="20161216"/>
        <s v="20161219"/>
        <s v="20161220"/>
        <s v="20161222"/>
        <s v="20161226"/>
        <s v="20161227"/>
        <s v="20161228"/>
        <s v="20161229"/>
        <s v="20161230"/>
        <s v="20170103"/>
        <s v="20170104"/>
        <s v="20170105"/>
        <s v="20170106"/>
        <s v="20170109"/>
        <s v="20170111"/>
        <s v="20170116"/>
        <s v="20170119"/>
        <s v="20170120"/>
        <s v="20170123"/>
        <s v="20170124"/>
        <s v="20170125"/>
        <s v="20170126"/>
        <s v="20170203"/>
        <s v="20170206"/>
        <s v="20170207"/>
        <s v="20170208"/>
        <s v="20170209"/>
        <s v="20170210"/>
        <s v="20170213"/>
        <s v="20170214"/>
        <s v="20170215"/>
        <s v="20170216"/>
        <s v="20170217"/>
        <s v="20170220"/>
        <s v="20170223"/>
        <s v="20170224"/>
        <s v="20170227"/>
        <s v="20170301"/>
        <s v="20170309"/>
        <s v="20170313"/>
        <s v="20170316"/>
        <s v="20170317"/>
        <s v="20170320"/>
        <s v="20170322"/>
        <s v="20170323"/>
        <s v="20170324"/>
        <s v="20170327"/>
        <s v="20170328"/>
        <s v="20170329"/>
        <s v="20170330"/>
        <s v="20170405"/>
        <s v="20170410"/>
        <s v="20170413"/>
        <s v="20170414"/>
        <s v="20170426"/>
        <s v="20170427"/>
        <s v="20170504"/>
        <s v="20170505"/>
        <s v="20170509"/>
        <s v="20170510"/>
        <s v="20170518"/>
        <s v="20170602"/>
        <s v="20170607"/>
        <s v="20170609"/>
        <s v="20170613"/>
        <s v="20170615"/>
        <s v="20170619"/>
        <s v="20170620"/>
        <s v="20170622"/>
        <s v="20170623"/>
        <s v="20170626"/>
        <s v="20170629"/>
        <s v="20170630"/>
        <s v="20170703"/>
        <s v="20170704"/>
        <s v="20170705"/>
        <s v="20170710"/>
        <s v="20170713"/>
        <s v="20170719"/>
        <s v="20170720"/>
        <s v="20170721"/>
        <s v="20170724"/>
        <s v="20170725"/>
        <s v="20170726"/>
        <s v="20170727"/>
        <s v="20170728"/>
        <s v="20170731"/>
        <s v="20170801"/>
        <s v="20170802"/>
        <s v="20170803"/>
        <s v="20170807"/>
        <s v="20170808"/>
        <s v="20170809"/>
        <s v="20170810"/>
        <s v="20170811"/>
        <s v="20170814"/>
        <s v="20170815"/>
        <s v="20170816"/>
        <s v="20170817"/>
        <s v="20170818"/>
        <s v="20170822"/>
        <s v="20170823"/>
        <s v="20170824"/>
        <s v="20170825"/>
        <s v="20170829"/>
        <s v="20170830"/>
        <s v="20170831"/>
        <s v="20170901"/>
        <s v="20170906"/>
        <s v="20170907"/>
        <s v="20170908"/>
        <s v="20170911"/>
        <s v="20170912"/>
        <s v="20170913"/>
        <s v="20170914"/>
        <s v="20170918"/>
        <s v="20170919"/>
        <s v="20170920"/>
        <s v="20170921"/>
        <s v="20170922"/>
        <s v="20170925"/>
        <s v="20170926"/>
        <s v="20170927"/>
        <s v="20170928"/>
        <s v="20170929"/>
        <s v="20171009"/>
        <s v="20171010"/>
        <s v="20171012"/>
        <s v="20171013"/>
        <s v="20171016"/>
        <s v="20171018"/>
        <s v="20171019"/>
        <s v="20171020"/>
        <s v="20171023"/>
        <s v="20171024"/>
        <s v="20171025"/>
        <s v="20171026"/>
        <s v="20171027"/>
        <s v="20171030"/>
        <s v="20171031"/>
        <s v="20171101"/>
        <s v="20171102"/>
        <s v="20171103"/>
        <s v="20171106"/>
        <s v="20171107"/>
        <s v="20171108"/>
        <s v="20171110"/>
        <s v="20171113"/>
        <s v="20171114"/>
        <s v="20171115"/>
        <s v="20171116"/>
        <s v="20171120"/>
        <s v="20171121"/>
        <s v="20171123"/>
        <s v="20171201"/>
        <s v="20171204"/>
        <s v="20171205"/>
        <s v="20171206"/>
        <s v="20171207"/>
        <s v="20171208"/>
        <s v="20171211"/>
        <s v="20171214"/>
        <s v="20171215"/>
        <s v="20171218"/>
        <s v="20171220"/>
        <s v="20171221"/>
        <s v="20171222"/>
        <s v="20171225"/>
        <s v="20171226"/>
        <s v="20171227"/>
        <s v="20171228"/>
        <s v="20171229"/>
        <s v="20180102"/>
        <s v="20180103"/>
        <s v="20180108"/>
        <s v="20180109"/>
        <s v="20180110"/>
        <s v="20180111"/>
        <s v="20180112"/>
        <s v="20180115"/>
        <s v="20180116"/>
        <s v="20180117"/>
        <s v="20180118"/>
        <s v="20180119"/>
        <s v="20180123"/>
        <s v="20180124"/>
        <s v="20180125"/>
        <s v="20180126"/>
        <s v="20180129"/>
        <s v="20180130"/>
        <s v="20180131"/>
        <s v="20180201"/>
        <s v="20180202"/>
        <s v="20180205"/>
        <s v="20180206"/>
        <s v="20180207"/>
        <s v="20180208"/>
        <s v="20180209"/>
        <s v="20180212"/>
        <s v="20180213"/>
        <s v="20180214"/>
        <s v="20180222"/>
        <s v="20180223"/>
        <s v="20180226"/>
        <s v="20180227"/>
        <s v="20180228"/>
        <s v="20180301"/>
        <s v="20180302"/>
        <s v="20180305"/>
        <s v="20180306"/>
        <s v="20180307"/>
        <s v="20180308"/>
        <s v="20180320"/>
        <s v="20180321"/>
        <s v="20180323"/>
        <s v="20180329"/>
        <s v="20180330"/>
        <s v="20180402"/>
        <s v="20180403"/>
        <s v="20180404"/>
        <s v="20180413"/>
        <s v="20180417"/>
        <s v="20180420"/>
        <s v="20180423"/>
        <s v="20180424"/>
        <s v="20180425"/>
        <s v="20180426"/>
        <s v="20180427"/>
        <s v="20180518"/>
        <s v="20180601"/>
        <s v="20180605"/>
        <s v="20180606"/>
        <s v="20180607"/>
        <s v="20180608"/>
        <s v="20180611"/>
        <s v="20180613"/>
        <s v="20180615"/>
        <s v="20180620"/>
        <s v="20180621"/>
        <s v="20180626"/>
        <s v="20180702"/>
        <s v="20180720"/>
        <s v="20180801"/>
        <s v="20180806"/>
        <s v="20180807"/>
        <s v="20180808"/>
        <s v="20180816"/>
        <s v="20180817"/>
        <s v="20180820"/>
        <s v="20180821"/>
        <s v="20180903"/>
        <s v="20180904"/>
        <s v="20180905"/>
        <s v="20180914"/>
        <s v="20180917"/>
        <s v="20180920"/>
        <s v="20180921"/>
        <s v="20181015"/>
        <s v="20181116"/>
        <s v="20181119"/>
        <s v="20181120"/>
        <s v="20181122"/>
        <s v="20181128"/>
        <s v="20181129"/>
        <s v="20181203"/>
        <s v="20181204"/>
        <s v="20181217"/>
        <s v="20181220"/>
        <s v="20181221"/>
        <s v="20190108"/>
        <s v="20190118"/>
        <s v="20190220"/>
        <s v="20190222"/>
        <s v="20190226"/>
        <s v="20190308"/>
        <s v="20190315"/>
        <s v="20190318"/>
        <s v="20190319"/>
        <s v="20190320"/>
        <s v="20190321"/>
        <s v="20190322"/>
        <s v="20190325"/>
        <s v="20190326"/>
        <s v="20190403"/>
        <s v="20190415"/>
        <s v="20190417"/>
        <s v="20190418"/>
        <s v="20190419"/>
        <s v="20190423"/>
        <s v="20190424"/>
        <s v="20190507"/>
        <s v="20190510"/>
        <s v="20190514"/>
        <s v="20190520"/>
        <s v="20190524"/>
        <s v="20190530"/>
        <s v="20190619"/>
        <s v="20190620"/>
        <s v="20190621"/>
        <s v="20190626"/>
        <s v="20190719"/>
        <s v="20190722"/>
        <s v="20190729"/>
        <s v="20190730"/>
        <s v="20190806"/>
        <s v="20190808"/>
        <s v="20190809"/>
        <s v="20190812"/>
        <s v="20190814"/>
        <s v="20190815"/>
        <s v="20190820"/>
        <s v="20190822"/>
        <s v="20190902"/>
        <s v="20190903"/>
        <s v="20190906"/>
        <s v="20190909"/>
        <s v="20190912"/>
        <s v="20190917"/>
        <s v="20190918"/>
        <s v="20190920"/>
        <s v="20190923"/>
        <s v="20190926"/>
        <s v="20190930"/>
        <s v="20191011"/>
        <s v="20191018"/>
        <s v="20191028"/>
        <s v="20191107"/>
        <s v="20191111"/>
        <s v="20191112"/>
        <s v="20191113"/>
        <s v="20191119"/>
        <s v="20191120"/>
        <s v="20191121"/>
        <s v="20191126"/>
        <s v="20191127"/>
        <s v="20191128"/>
        <s v="20191202"/>
        <s v="20191203"/>
        <s v="20191204"/>
        <s v="20191205"/>
        <s v="20191206"/>
        <s v="20191209"/>
        <s v="20191210"/>
        <s v="20191211"/>
        <s v="20191213"/>
        <s v="20191216"/>
        <s v="20191217"/>
        <s v="20191220"/>
        <s v="20191223"/>
        <s v="20191226"/>
        <s v="20191230"/>
        <s v="20200103"/>
        <s v="20200106"/>
        <s v="20200108"/>
        <s v="20200117"/>
        <s v="20200120"/>
        <s v="20200121"/>
        <s v="20200123"/>
        <s v="20200203"/>
        <s v="20200205"/>
        <s v="20200206"/>
        <s v="20200207"/>
        <s v="20200210"/>
        <s v="20200212"/>
        <s v="20200213"/>
        <s v="20200214"/>
        <s v="20200217"/>
        <s v="20200220"/>
        <s v="20200226"/>
        <s v="20200305"/>
        <s v="20200309"/>
        <s v="20200309_x0009_"/>
        <s v="20200310"/>
        <s v="20200310_x0009_"/>
        <s v="20200311_x0009_"/>
        <s v="20200312_x0009_"/>
        <s v="20200313"/>
        <s v="20200313_x0009_"/>
        <s v="20200316_x0009_"/>
        <s v="20200317_x0009_"/>
        <s v="20200318"/>
        <s v="20200318_x0009_"/>
        <s v="20200319"/>
        <s v="20200319_x0009_"/>
        <s v="20200320"/>
        <s v="20200320_x0009_"/>
        <s v="20200323"/>
        <s v="20200323_x0009_"/>
        <s v="20200324_x0009_"/>
        <s v="20200325_x0009_"/>
        <s v="20200326_x0009_"/>
        <s v="20200327_x0009_"/>
        <s v="20200330_x0009_"/>
        <s v="20200331_x0009_"/>
        <s v="20200401_x0009_"/>
        <s v="20200402_x0009_"/>
        <s v="20200403_x0009_"/>
        <s v="20200407_x0009_"/>
        <s v="20200408_x0009_"/>
        <s v="20200409_x0009_"/>
        <s v="20200414_x0009_"/>
        <s v="20200415"/>
        <s v="20200415_x0009_"/>
        <s v="20200416_x0009_"/>
        <s v="20200417"/>
        <s v="20200417_x0009_"/>
        <s v="20200420"/>
        <s v="20200420_x0009_"/>
        <s v="20200421_x0009_"/>
        <s v="20200422_x0009_"/>
        <s v="20200423"/>
        <s v="20200423_x0009_"/>
        <s v="20200424_x0009_"/>
        <s v="20200427_x0009_"/>
        <s v="20200428_x0009_"/>
        <s v="20200429"/>
        <s v="20200429_x0009_"/>
        <s v="20200506"/>
        <s v="20200506_x0009_"/>
        <s v="20200507_x0009_"/>
        <s v="20200508_x0009_"/>
        <s v="20200511_x0009_"/>
        <s v="20200512"/>
        <s v="20200512_x0009_"/>
        <s v="20200513_x0009_"/>
        <s v="20200514"/>
        <s v="20200514_x0009_"/>
        <s v="20200515_x0009_"/>
        <s v="20200518_x0009_"/>
        <s v="20200519_x0009_"/>
        <s v="20200520"/>
        <s v="20200520_x0009_"/>
        <s v="20200521"/>
        <s v="20200521_x0009_"/>
        <s v="20200522"/>
        <s v="20200522_x0009_"/>
        <s v="20200525"/>
        <s v="20200525_x0009_"/>
        <s v="20200526"/>
        <s v="20200526_x0009_"/>
        <s v="20200527"/>
        <s v="20200527_x0009_"/>
        <s v="20200528"/>
        <s v="20200528_x0009_"/>
        <s v="20200529"/>
        <s v="20200529_x0009_"/>
        <s v="20200601"/>
        <s v="20200601_x0009_"/>
        <s v="20200602"/>
        <s v="20200602_x0009_"/>
        <s v="20200603"/>
        <s v="20200603_x0009_"/>
        <s v="20200604"/>
        <s v="20200604_x0009_"/>
        <s v="20200605"/>
        <s v="20200605_x0009_"/>
        <s v="20200608"/>
        <s v="20200608_x0009_"/>
        <s v="20200609"/>
        <s v="20200609_x0009_"/>
        <s v="20200610"/>
        <s v="20200610_x0009_"/>
        <s v="20200611_x0009_"/>
        <s v="20200612"/>
        <s v="20200612_x0009_"/>
        <s v="20200615"/>
        <s v="20200615_x0009_"/>
        <s v="20200616"/>
        <s v="20200616_x0009_"/>
        <s v="20200617"/>
        <s v="20200617_x0009_"/>
        <s v="20200618"/>
        <s v="20200618_x0009_"/>
        <s v="20200619"/>
        <s v="20200619_x0009_"/>
        <s v="20200622"/>
        <s v="20200622_x0009_"/>
        <s v="20200623"/>
        <s v="20200623_x0009_"/>
        <s v="20200624"/>
        <s v="20200624_x0009_"/>
        <s v="20200629"/>
        <s v="20200629_x0009_"/>
        <s v="20200630"/>
        <s v="20200630_x0009_"/>
        <s v="20200701"/>
        <s v="20200702"/>
        <s v="20200703"/>
        <s v="20200706"/>
        <s v="20200707"/>
        <s v="20200708"/>
        <s v="20200709"/>
        <s v="20200710"/>
        <s v="20200713"/>
        <s v="20200714"/>
        <s v="20200715"/>
        <s v="20200716"/>
        <s v="20200717"/>
        <s v="20200720"/>
        <s v="20200721"/>
        <s v="20200722"/>
        <s v="20200723"/>
        <s v="20200724"/>
        <s v="20200727"/>
        <s v="20200728"/>
        <s v="20200729"/>
        <s v="20200730"/>
        <s v="20200731"/>
        <s v="20200803"/>
        <s v="20200804"/>
        <s v="20200805"/>
        <s v="20200806"/>
        <s v="20200807"/>
        <s v="20200810"/>
        <s v="20200811"/>
        <s v="20200812"/>
        <s v="20200813"/>
        <s v="20200814"/>
        <s v="20200817"/>
        <s v="20200818"/>
        <s v="20200819"/>
        <s v="20200820"/>
        <s v="20200821"/>
        <s v="20200824"/>
        <s v="20200825"/>
        <s v="20200826"/>
        <s v="20200827"/>
        <s v="20200828"/>
        <s v="20200831"/>
        <s v="20200901"/>
        <s v="20200902"/>
        <s v="20200903"/>
        <s v="20200904"/>
        <s v="20200907"/>
        <s v="20200908"/>
        <s v="20200909"/>
        <s v="20200910"/>
        <s v="20200911"/>
        <s v="20200914"/>
        <s v="20200915"/>
        <s v="20200916"/>
        <s v="20200917"/>
        <s v="20200918"/>
        <s v="20200921"/>
        <s v="20200922"/>
        <s v="20200923"/>
        <s v="20200924"/>
        <s v="20200925"/>
        <s v="20200928"/>
        <s v="20200929"/>
        <s v="20200930"/>
        <s v="20201009"/>
        <s v="20201012"/>
        <s v="20201013"/>
        <s v="20201014"/>
        <s v="20201015"/>
        <s v="20201016"/>
        <s v="20201019"/>
        <s v="20201020"/>
        <s v="20201021"/>
        <s v="20201022"/>
        <s v="20201023"/>
        <s v="20201026"/>
        <s v="20201027"/>
        <s v="20201028"/>
        <s v="20201029"/>
        <s v="20201030"/>
        <s v="20201102"/>
        <s v="20201103"/>
        <s v="20201104"/>
        <s v="20201105"/>
        <s v="20201106"/>
        <s v="20201109"/>
        <s v="20201110"/>
        <s v="20201111"/>
        <s v="20201112"/>
        <s v="20201113"/>
        <s v="20201116"/>
        <s v="20201117"/>
        <s v="20201118"/>
        <s v="20201119"/>
        <s v="20201120"/>
        <s v="20201123"/>
        <s v="20201124"/>
        <s v="20201125"/>
        <s v="20201126"/>
        <s v="20201127"/>
        <s v="20201130"/>
        <s v="20201201"/>
        <s v="20201202"/>
        <s v="20201203"/>
        <s v="20201204"/>
        <s v="20201207"/>
        <s v="20201208"/>
        <s v="20201209"/>
        <s v="20201210"/>
        <s v="20201211"/>
        <s v="20201214"/>
        <s v="20201215"/>
        <s v="20201216"/>
        <s v="20201217"/>
        <s v="20201218"/>
        <s v="20201221"/>
        <s v="20201222"/>
        <s v="20201223"/>
        <s v="20201224"/>
        <s v="20201228"/>
        <s v="20201229"/>
        <s v="20201230"/>
        <s v="20201231"/>
        <s v="20210104"/>
        <s v="20210105"/>
        <s v="20210106"/>
        <s v="20210107"/>
        <s v="20210108"/>
        <s v="20210111"/>
        <s v="20210112"/>
        <s v="20210113"/>
        <s v="20210114"/>
        <s v="20210115"/>
        <s v="20210118"/>
        <s v="20210119"/>
        <s v="20210120"/>
        <s v="20210121"/>
        <s v="20210122"/>
        <s v="20210125"/>
        <s v="20210126"/>
        <s v="20210127"/>
        <s v="20210128"/>
        <s v="20210129"/>
        <s v="20210201"/>
        <s v="20210202"/>
        <s v="20210203"/>
        <s v="20210204"/>
        <s v="20210205"/>
        <s v="20210208"/>
        <s v="20210209"/>
        <s v="20210210"/>
        <s v="20210218"/>
        <s v="20210219"/>
        <s v="20210222"/>
        <s v="20210223"/>
        <s v="20210224"/>
        <s v="20210225"/>
        <s v="20210226"/>
        <s v="20210301"/>
        <s v="20210302"/>
        <s v="20210303"/>
        <s v="20210304"/>
        <s v="20210305"/>
        <s v="20210308"/>
        <s v="20210309"/>
        <s v="20210310"/>
        <s v="20210311"/>
        <s v="20210312"/>
        <s v="20210315"/>
        <s v="20210316"/>
        <s v="20210317"/>
        <s v="20210318"/>
        <s v="20210319"/>
        <s v="20210322"/>
        <s v="20210323"/>
        <s v="20210324"/>
        <s v="20210325"/>
        <s v="20210326"/>
        <s v="20210329"/>
        <s v="20210330"/>
        <s v="20210331"/>
        <s v="20210401"/>
        <s v="20210407"/>
        <s v="20210408"/>
        <s v="20210409"/>
        <s v="20210412"/>
        <s v="20210413"/>
        <s v="20210414"/>
        <s v="20210415"/>
        <s v="20210416"/>
        <s v="20210419"/>
        <s v="20210420"/>
        <s v="20210421"/>
        <s v="20210422"/>
        <s v="20210423"/>
        <s v="20210426"/>
        <s v="20210427"/>
        <s v="20210428"/>
        <s v="20210429"/>
        <s v="20210430"/>
        <s v="20210506"/>
        <s v="20210507"/>
        <s v="20210510"/>
        <s v="20210511"/>
        <s v="20210512"/>
        <s v="20210513"/>
        <s v="20210514"/>
        <s v="20210517"/>
        <s v="20210518"/>
        <s v="20210519"/>
        <s v="20210520"/>
        <s v="20210521"/>
        <s v="20210524"/>
        <s v="20210525"/>
        <s v="20210526"/>
        <s v="20210527"/>
        <s v="20210528"/>
        <s v="20210531"/>
        <s v="20210601"/>
        <s v="20210602"/>
        <s v="20210603"/>
        <s v="20210604"/>
        <s v="20210607"/>
        <s v="20210608"/>
        <s v="20210609"/>
        <s v="20210610"/>
        <s v="20210611"/>
        <s v="20210615"/>
        <s v="20210616"/>
        <s v="20210617"/>
        <s v="20210618"/>
        <s v="20210621"/>
        <s v="20210622"/>
        <s v="20210623"/>
        <s v="20210624"/>
        <s v="20210625"/>
        <s v="20210628"/>
        <s v="20210629"/>
        <s v="20210630"/>
        <s v="20210701"/>
        <s v="20210702"/>
        <s v="20210705"/>
        <s v="20210706"/>
        <s v="20210707"/>
        <s v="20210708"/>
        <s v="20210709"/>
        <s v="20210712"/>
        <s v="20210713"/>
        <s v="20210714"/>
        <s v="20210715"/>
        <s v="20210716"/>
        <s v="20210719"/>
        <s v="20210720"/>
        <s v="20210721"/>
        <s v="20210722"/>
        <s v="20210723"/>
        <s v="20210726"/>
        <s v="20210727"/>
        <s v="20210728"/>
        <s v="20210729"/>
        <s v="20210730"/>
        <s v="20210802"/>
        <s v="20210803"/>
        <s v="20210804"/>
        <s v="20210805"/>
        <s v="20210806"/>
        <s v="20210809"/>
        <s v="20210810"/>
        <s v="20210811"/>
        <s v="20210812"/>
        <s v="20210813"/>
        <s v="20210816"/>
        <s v="20210817"/>
        <s v="20210818"/>
        <s v="20210819"/>
        <s v="20210820"/>
        <s v="20210823"/>
        <s v="20210824"/>
        <s v="20210825"/>
        <s v="20210826"/>
        <s v="20210827"/>
        <s v="20210830"/>
        <s v="20210831"/>
        <s v="20210901"/>
        <s v="20210902"/>
        <s v="20210903"/>
        <s v="20210906"/>
        <s v="20210907"/>
        <s v="20210908"/>
        <s v="20210909"/>
        <s v="20210910"/>
        <s v="20210913"/>
        <s v="20210914"/>
        <s v="20210915"/>
        <s v="20210916"/>
        <s v="20210917"/>
        <s v="20210922"/>
        <s v="20210923"/>
        <s v="20210924"/>
        <s v="20210927"/>
        <s v="20210928"/>
        <s v="20210929"/>
        <s v="20210930"/>
        <s v="20211008"/>
        <s v="20211011"/>
        <s v="20211012"/>
        <s v="20211013"/>
        <s v="20211014"/>
        <s v="20211015"/>
        <s v="20211018"/>
        <s v="20211019"/>
        <s v="20211020"/>
        <s v="20211021"/>
        <s v="20211022"/>
        <s v="20211025"/>
        <s v="20211026"/>
        <s v="20211027"/>
        <s v="20211028"/>
        <s v="20211029"/>
        <s v="20211101"/>
        <s v="20211102"/>
        <s v="20211103"/>
        <s v="20211104"/>
        <s v="20211105"/>
        <s v="20211108"/>
        <s v="20211109"/>
        <s v="20211110"/>
        <s v="20211111"/>
        <s v="20211112"/>
        <s v="20211115"/>
        <s v="20211116"/>
        <s v="20211117"/>
        <s v="20211118"/>
        <s v="20211119"/>
        <s v="20211122"/>
        <s v="20211123"/>
        <s v="20211124"/>
        <s v="20211125"/>
        <s v="20211126"/>
        <s v="20211129"/>
        <s v="20211130"/>
        <s v="20211201"/>
        <s v="20211202"/>
        <s v="20211203"/>
        <s v="20211206"/>
        <s v="20211207"/>
        <s v="20211208"/>
        <s v="20211209"/>
        <s v="20211210"/>
        <s v="20211213"/>
        <s v="20211214"/>
        <s v="20211215"/>
        <s v="20211216"/>
        <s v="20211217"/>
        <s v="20211220"/>
        <s v="20211221"/>
        <s v="20211222"/>
        <s v="20211223"/>
        <s v="20211224"/>
        <s v="20211227"/>
        <s v="20211228"/>
        <s v="20211229"/>
        <s v="20211230"/>
        <s v="20211231"/>
        <s v="20220106"/>
        <s v="20220117"/>
        <s v="20220119"/>
        <s v="20220120"/>
        <s v="20220121"/>
        <s v="20220125"/>
        <s v="20220127"/>
        <s v="20220207"/>
        <s v="20220208"/>
        <s v="20220211"/>
        <s v="20220217"/>
        <s v="20220218"/>
        <s v="20220225"/>
        <s v="20220302"/>
        <s v="20220307"/>
        <s v="20220308"/>
        <s v="20220309"/>
        <s v="20220310"/>
        <s v="20220316"/>
        <s v="20220317"/>
        <s v="20220318"/>
        <s v="20220328"/>
        <s v="20220329"/>
        <s v="20220330"/>
        <s v="20220406"/>
        <s v="20220420"/>
        <s v="20220526"/>
        <s v="20220530"/>
        <s v="20220601"/>
        <s v="20220608"/>
        <s v="20220609"/>
        <s v="20220610"/>
        <s v="20220613"/>
        <s v="20220620"/>
        <s v="20220621"/>
        <s v="20220623"/>
        <s v="20220624"/>
        <m/>
      </sharedItems>
    </cacheField>
    <cacheField name="证券代码" numFmtId="0">
      <sharedItems containsBlank="1" count="113">
        <s v=""/>
        <s v="AA0007"/>
        <s v="001227"/>
        <s v="787047"/>
        <s v="01099"/>
        <s v="119931"/>
        <s v="688047"/>
        <s v="00386"/>
        <s v="000601"/>
        <s v="799999"/>
        <m/>
        <s v="600664"/>
        <s v="600829"/>
        <s v="002500"/>
        <s v="600270"/>
        <s v="600583"/>
        <s v="131801"/>
        <s v="131802"/>
        <s v="002609"/>
        <s v="000606"/>
        <s v="131803"/>
        <s v="601607"/>
        <s v="601398"/>
        <s v="122535"/>
        <s v="600066"/>
        <s v="511990"/>
        <s v="601166"/>
        <s v="601088"/>
        <s v="150181"/>
        <s v="511991"/>
        <s v="000868"/>
        <s v="150182"/>
        <s v="000541"/>
        <s v="161024"/>
        <s v="600467"/>
        <s v="601179"/>
        <s v="600219"/>
        <s v="601669"/>
        <s v="601919"/>
        <s v="150259"/>
        <s v="510300"/>
        <s v="150175"/>
        <s v="150295"/>
        <s v="150296"/>
        <s v="160136"/>
        <s v="600789"/>
        <s v="600597"/>
        <s v="002197"/>
        <s v="150209"/>
        <s v="161026"/>
        <s v="002296"/>
        <s v="600575"/>
        <s v="000667"/>
        <s v="162411"/>
        <s v="600886"/>
        <s v="002154"/>
        <s v="000939"/>
        <s v="002717"/>
        <s v="600297"/>
        <s v="600894"/>
        <s v="002183"/>
        <s v="300535"/>
        <s v="600165"/>
        <s v="600365"/>
        <s v="000700"/>
        <s v="150197"/>
        <s v="002543"/>
        <s v="601000"/>
        <s v="131811"/>
        <s v="131810"/>
        <s v="150276"/>
        <s v="040008"/>
        <s v="150153"/>
        <s v="300463"/>
        <s v="601866"/>
        <s v="000670"/>
        <s v="300195"/>
        <s v="000768"/>
        <s v="002023"/>
        <s v="600613"/>
        <s v="072271"/>
        <s v="128016"/>
        <s v="000543"/>
        <s v="002036"/>
        <s v="072318"/>
        <s v="128019"/>
        <s v="150201"/>
        <s v="072284"/>
        <s v="730025"/>
        <s v="072142"/>
        <s v="128023"/>
        <s v="600025"/>
        <s v="128024"/>
        <s v="002925"/>
        <s v="732506"/>
        <s v="603506"/>
        <s v="159949"/>
        <s v="002015"/>
        <s v="002419"/>
        <s v="000050"/>
        <s v="600172"/>
        <s v="002958"/>
        <s v="600028"/>
        <s v="300829"/>
        <s v="600362"/>
        <s v="603707"/>
        <s v="502012"/>
        <s v="003016"/>
        <s v="600722"/>
        <s v="002484"/>
        <s v="300355"/>
        <s v="159781"/>
        <s v="889688"/>
      </sharedItems>
    </cacheField>
    <cacheField name="发生金额" numFmtId="0">
      <sharedItems containsString="0" containsBlank="1" containsNumber="1" minValue="-250447.86" maxValue="250332.05" count="3444">
        <n v="-0.25"/>
        <n v="0.25"/>
        <n v="-0.05"/>
        <n v="0.05"/>
        <n v="1785.05"/>
        <n v="-1785"/>
        <n v="-0.15"/>
        <n v="0"/>
        <n v="0.15"/>
        <n v="-3091.85"/>
        <n v="3091.9"/>
        <n v="-0.49"/>
        <n v="0.49"/>
        <n v="-0.04"/>
        <n v="0.04"/>
        <n v="-0.12"/>
        <n v="0.12"/>
        <n v="0.73"/>
        <n v="14.34"/>
        <n v="-0.24"/>
        <n v="-0.31"/>
        <n v="-0.21"/>
        <n v="-0.16"/>
        <n v="-0.2"/>
        <n v="26000"/>
        <n v="4019.5"/>
        <n v="-30030"/>
        <n v="-0.13"/>
        <n v="0.01"/>
        <n v="-31117.07"/>
        <n v="31117.19"/>
        <n v="16.54"/>
        <n v="30000"/>
        <n v="-30000"/>
        <n v="13392"/>
        <n v="45454.93"/>
        <n v="1858.07"/>
        <n v="-47329.46"/>
        <n v="-13391.96"/>
        <n v="0.13"/>
        <n v="5000"/>
        <n v="-4920.41"/>
        <n v="5142.18"/>
        <n v="-5000"/>
        <n v="4778.23"/>
        <n v="-3192"/>
        <n v="3077.92"/>
        <n v="-4758.23"/>
        <n v="4928.63"/>
        <n v="4792.92"/>
        <n v="-4255"/>
        <n v="2.09"/>
        <n v="-72.34"/>
        <n v="4545.43"/>
        <n v="-300"/>
        <n v="5604.64"/>
        <n v="-4542"/>
        <n v="4713.08"/>
        <n v="-5700"/>
        <n v="5400"/>
        <n v="-5486.91"/>
        <n v="5491.87"/>
        <n v="-5117.62"/>
        <n v="1"/>
        <n v="4478.51"/>
        <n v="-4320"/>
        <n v="4411.58"/>
        <n v="-4360"/>
        <n v="0.37"/>
        <n v="22.05"/>
        <n v="0.28"/>
        <n v="1900"/>
        <n v="-1900"/>
        <n v="3000"/>
        <n v="-3000"/>
        <n v="1.32"/>
        <n v="5238.55"/>
        <n v="-1000"/>
        <n v="2000"/>
        <n v="1.46"/>
        <n v="-366.66"/>
        <n v="-3275"/>
        <n v="-66.47"/>
        <n v="-1000.1"/>
        <n v="1000.69"/>
        <n v="1000.71"/>
        <n v="-2000.2"/>
        <n v="-2000.1"/>
        <n v="8500"/>
        <n v="-8967.85"/>
        <n v="8711.67"/>
        <n v="-6489.13"/>
        <n v="-5496.04"/>
        <n v="2003.17"/>
        <n v="2001.73"/>
        <n v="1001.61"/>
        <n v="-5301.83"/>
        <n v="4690.13"/>
        <n v="9080.89"/>
        <n v="-9000.45"/>
        <n v="-4000"/>
        <n v="3.06"/>
        <n v="9008.3"/>
        <n v="40000"/>
        <n v="-10001"/>
        <n v="-5001"/>
        <n v="-10261.28"/>
        <n v="-3020"/>
        <n v="-993"/>
        <n v="10017.68"/>
        <n v="10019.22"/>
        <n v="10020.33"/>
        <n v="-5000.25"/>
        <n v="-4000.4"/>
        <n v="-6000.3"/>
        <n v="5004.57"/>
        <n v="-4673.31"/>
        <n v="5005.85"/>
        <n v="6007.94"/>
        <n v="-3917"/>
        <n v="-6283.14"/>
        <n v="5016.7"/>
        <n v="10017.45"/>
        <n v="4007.82"/>
        <n v="-4340.18"/>
        <n v="-251"/>
        <n v="-4085.18"/>
        <n v="-3615"/>
        <n v="-7308.03"/>
        <n v="3746.24"/>
        <n v="2236.76"/>
        <n v="1533.46"/>
        <n v="3816.17"/>
        <n v="-4577.03"/>
        <n v="-3675"/>
        <n v="3716.27"/>
        <n v="4532.46"/>
        <n v="-4463"/>
        <n v="4628.26"/>
        <n v="-4583.04"/>
        <n v="4658.2"/>
        <n v="-7838.61"/>
        <n v="3155.84"/>
        <n v="-4593.05"/>
        <n v="4613.11"/>
        <n v="4616.29"/>
        <n v="-7533.58"/>
        <n v="7623.66"/>
        <n v="-7723.79"/>
        <n v="7753.38"/>
        <n v="-7843.92"/>
        <n v="7808.26"/>
        <n v="-7598.35"/>
        <n v="4046.94"/>
        <n v="7514.19"/>
        <n v="-7458.5"/>
        <n v="-7523.57"/>
        <n v="-5894.48"/>
        <n v="6.23"/>
        <n v="5300"/>
        <n v="-5121.53"/>
        <n v="3526.46"/>
        <n v="3516.47"/>
        <n v="0.22"/>
        <n v="-6893.57"/>
        <n v="5861.67"/>
        <n v="-6041.94"/>
        <n v="10000"/>
        <n v="111.36"/>
        <n v="617.5"/>
        <n v="-10109.46"/>
        <n v="-5144.07"/>
        <n v="66.5"/>
        <n v="7400"/>
        <n v="-8086.42"/>
        <n v="38"/>
        <n v="372.93"/>
        <n v="0.81"/>
        <n v="8193.73"/>
        <n v="-6152.06"/>
        <n v="-2041.51"/>
        <n v="5022.01"/>
        <n v="12353.4"/>
        <n v="6057.25"/>
        <n v="5148.26"/>
        <n v="12181.01"/>
        <n v="-34219.74"/>
        <n v="-5397.11"/>
        <n v="5451.53"/>
        <n v="23490.42"/>
        <n v="-28656.45"/>
        <n v="-1244.06"/>
        <n v="-1.9"/>
        <n v="-3.5"/>
        <n v="-19.63"/>
        <n v="-2.6"/>
        <n v="-3.9"/>
        <n v="-6.5"/>
        <n v="-13"/>
        <n v="14568.85"/>
        <n v="-13600.6"/>
        <n v="18131.24"/>
        <n v="18141.22"/>
        <n v="-20882.96"/>
        <n v="18121.26"/>
        <n v="-11792.96"/>
        <n v="582.41"/>
        <n v="-19993.4"/>
        <n v="-3058.01"/>
        <n v="20002.4"/>
        <n v="-6227.14"/>
        <n v="-5160.97"/>
        <n v="-8685.9"/>
        <n v="9172.33"/>
        <n v="-6342.27"/>
        <n v="5418.3"/>
        <n v="6381.27"/>
        <n v="2.15"/>
        <n v="-6382.31"/>
        <n v="-8601.45"/>
        <n v="3084.41"/>
        <n v="-3109.5"/>
        <n v="-39997.2"/>
        <n v="40004.19"/>
        <n v="-2720"/>
        <n v="-7570"/>
        <n v="-8165"/>
        <n v="7670"/>
        <n v="6453.23"/>
        <n v="-15277.64"/>
        <n v="-9035"/>
        <n v="3940"/>
        <n v="7820"/>
        <n v="-3880"/>
        <n v="-13067.13"/>
        <n v="3935"/>
        <n v="19170.3"/>
        <n v="-19315.55"/>
        <n v="-3937.5"/>
        <n v="-2880"/>
        <n v="-3932.5"/>
        <n v="-3920"/>
        <n v="10743.86"/>
        <n v="-9998.4"/>
        <n v="11544.22"/>
        <n v="10001"/>
        <n v="-9996.4"/>
        <n v="-9995.2"/>
        <n v="20002.09"/>
        <n v="-19993.7"/>
        <n v="20002.8"/>
        <n v="-5235.3"/>
        <n v="8.3"/>
        <n v="3441.55"/>
        <n v="3421.57"/>
        <n v="-3360"/>
        <n v="-19018.58"/>
        <n v="-0.1"/>
        <n v="-790.6"/>
        <n v="5284.4"/>
        <n v="-5126.9"/>
        <n v="6102"/>
        <n v="10273.96"/>
        <n v="-4857.5"/>
        <n v="-4585"/>
        <n v="4627.5"/>
        <n v="13918.49"/>
        <n v="-4575"/>
        <n v="4577.5"/>
        <n v="4.63"/>
        <n v="-4605"/>
        <n v="-20395.03"/>
        <n v="4670"/>
        <n v="-4682.5"/>
        <n v="4785"/>
        <n v="4897.5"/>
        <n v="-9994.7"/>
        <n v="-6091.69"/>
        <n v="6091.69"/>
        <n v="10001.04"/>
        <n v="200"/>
        <n v="5929.06"/>
        <n v="-177.01"/>
        <n v="-5914.68"/>
        <n v="-1.46"/>
        <n v="-10354.71"/>
        <n v="-55592.88"/>
        <n v="55592.88"/>
        <n v="18909.6"/>
        <n v="19248.89"/>
        <n v="-12534.97"/>
        <n v="19049.31"/>
        <n v="-6197.41"/>
        <n v="12534.97"/>
        <n v="6197.41"/>
        <n v="-26.56"/>
        <n v="-18883.04"/>
        <n v="-19248.89"/>
        <n v="-17460.95"/>
        <n v="-1588.36"/>
        <n v="18559.14"/>
        <n v="6186.38"/>
        <n v="-6177.39"/>
        <n v="-6137.34"/>
        <n v="6177.39"/>
        <n v="6137.34"/>
        <n v="-10.47"/>
        <n v="-10946.61"/>
        <n v="-11.97"/>
        <n v="-7590.09"/>
        <n v="-4944.88"/>
        <n v="-5.92"/>
        <n v="-1235.58"/>
        <n v="-12214.62"/>
        <n v="12214.62"/>
        <n v="431.48"/>
        <n v="24146.78"/>
        <n v="-7709.07"/>
        <n v="-11974.36"/>
        <n v="11974.36"/>
        <n v="7709.07"/>
        <n v="-3.57"/>
        <n v="-4961.83"/>
        <n v="-4.44"/>
        <n v="-4.41"/>
        <n v="-5.84"/>
        <n v="-6851.96"/>
        <n v="-18261.86"/>
        <n v="7753.08"/>
        <n v="6056.65"/>
        <n v="18261.86"/>
        <n v="-3.84"/>
        <n v="-5362.66"/>
        <n v="-5.52"/>
        <n v="-2381.06"/>
        <n v="-5328.01"/>
        <n v="-8.58"/>
        <n v="-720.06"/>
        <n v="18150.93"/>
        <n v="-11254.3"/>
        <n v="-2.69"/>
        <n v="-6844.13"/>
        <n v="-4.36"/>
        <n v="-7518.86"/>
        <n v="-5947.13"/>
        <n v="5947.13"/>
        <n v="7518.86"/>
        <n v="-11814.18"/>
        <n v="5857.07"/>
        <n v="-5827"/>
        <n v="11814.18"/>
        <n v="5827"/>
        <n v="-5.46"/>
        <n v="-5851.61"/>
        <n v="7683.23"/>
        <n v="-9.31"/>
        <n v="-5566.12"/>
        <n v="-14.39"/>
        <n v="-2093.41"/>
        <n v="14387.78"/>
        <n v="-7.79"/>
        <n v="-5425.45"/>
        <n v="-19.88"/>
        <n v="-36.66"/>
        <n v="-2963.09"/>
        <n v="17900.53"/>
        <n v="12904.08"/>
        <n v="-2.11"/>
        <n v="-8851.09"/>
        <n v="-19.46"/>
        <n v="10663.98"/>
        <n v="-431.48"/>
        <n v="8841.66"/>
        <n v="-12087.24"/>
        <n v="11980.8"/>
        <n v="-7140.3"/>
        <n v="14138.16"/>
        <n v="-9998.1"/>
        <n v="-7195.3"/>
        <n v="-19953"/>
        <n v="-19930"/>
        <n v="-19944"/>
        <n v="40003.79"/>
        <n v="7.63"/>
        <n v="-40004.4"/>
        <n v="19996.2"/>
        <n v="-16558.79"/>
        <n v="-16728.98"/>
        <n v="49124.4"/>
        <n v="-8145.3"/>
        <n v="-7970.3"/>
        <n v="-10641.69"/>
        <n v="10641.69"/>
        <n v="16558.79"/>
        <n v="16728.98"/>
        <n v="-8200.3"/>
        <n v="-11862.93"/>
        <n v="50001.5"/>
        <n v="-49934.15"/>
        <n v="7871.82"/>
        <n v="42728.62"/>
        <n v="8288.5"/>
        <n v="11993"/>
        <n v="60.33"/>
        <n v="-49999.02"/>
        <n v="-20951.27"/>
        <n v="33491.97"/>
        <n v="-31535.76"/>
        <n v="11016.82"/>
        <n v="-17.78"/>
        <n v="-5500"/>
        <n v="500"/>
        <n v="6.58"/>
        <n v="18000"/>
        <n v="-19959.8"/>
        <n v="-8479.92"/>
        <n v="8479.92"/>
        <n v="6.2"/>
        <n v="20007.63"/>
        <n v="-20000"/>
        <n v="7633.32"/>
        <n v="-517"/>
        <n v="-8.12"/>
        <n v="-7625.2"/>
        <n v="-10301.62"/>
        <n v="-10276.59"/>
        <n v="10301.62"/>
        <n v="10276.59"/>
        <n v="20000"/>
        <n v="-10395.2"/>
        <n v="13039.21"/>
        <n v="-21440.25"/>
        <n v="-0.88"/>
        <n v="-336.84"/>
        <n v="-17.22"/>
        <n v="-221.9"/>
        <n v="33143.42"/>
        <n v="-10135.67"/>
        <n v="-19998.6"/>
        <n v="22066.03"/>
        <n v="10594.08"/>
        <n v="-2.41"/>
        <n v="-10079.72"/>
        <n v="-19.62"/>
        <n v="20017.83"/>
        <n v="-10515.26"/>
        <n v="10933.57"/>
        <n v="-11165.58"/>
        <n v="-19994"/>
        <n v="20002.16"/>
        <n v="-3235.3"/>
        <n v="100"/>
        <n v="-19993"/>
        <n v="-8069.47"/>
        <n v="8069.47"/>
        <n v="20002.18"/>
        <n v="8000"/>
        <n v="-1.93"/>
        <n v="-8100"/>
        <n v="-6407.64"/>
        <n v="6407.64"/>
        <n v="-8600.3"/>
        <n v="-6838.11"/>
        <n v="6838.11"/>
        <n v="6715.27"/>
        <n v="-6.12"/>
        <n v="-4.9"/>
        <n v="-296.61"/>
        <n v="6525.67"/>
        <n v="11206.42"/>
        <n v="-1.56"/>
        <n v="-6524.11"/>
        <n v="-17.39"/>
        <n v="8990.69"/>
        <n v="3246.44"/>
        <n v="-8965.3"/>
        <n v="-6285.6"/>
        <n v="24613.48"/>
        <n v="-19100.15"/>
        <n v="19560.01"/>
        <n v="-9580.3"/>
        <n v="9620.06"/>
        <n v="-9614.3"/>
        <n v="-8102.18"/>
        <n v="9425.26"/>
        <n v="-9365.3"/>
        <n v="-13106.85"/>
        <n v="-31734.87"/>
        <n v="9495.19"/>
        <n v="-10529.5"/>
        <n v="31734.87"/>
        <n v="10482.63"/>
        <n v="10419.04"/>
        <n v="-7.36"/>
        <n v="-10475.27"/>
        <n v="10843.41"/>
        <n v="8149.66"/>
        <n v="-12627.51"/>
        <n v="-10615.91"/>
        <n v="32451.25"/>
        <n v="-14.79"/>
        <n v="-11653.2"/>
        <n v="-9606.4"/>
        <n v="11437.51"/>
        <n v="-13667.13"/>
        <n v="13724.08"/>
        <n v="-27884.54"/>
        <n v="-32707.74"/>
        <n v="32707.74"/>
        <n v="22405.74"/>
        <n v="-28544.87"/>
        <n v="5.72"/>
        <n v="28706.27"/>
        <n v="7137.25"/>
        <n v="28476.62"/>
        <n v="-28534.86"/>
        <n v="-15.18"/>
        <n v="9.52"/>
        <n v="15576.3"/>
        <n v="-22112.25"/>
        <n v="-10816.01"/>
        <n v="-4521.24"/>
        <n v="1425"/>
        <n v="-56865.48"/>
        <n v="56865.48"/>
        <n v="17972.55"/>
        <n v="62003.85"/>
        <n v="-92.33"/>
        <n v="-25"/>
        <n v="-12.5"/>
        <n v="-7995"/>
        <n v="-23507.03"/>
        <n v="23507.03"/>
        <n v="24222.41"/>
        <n v="-61470.54"/>
        <n v="61470.54"/>
        <n v="-5.45"/>
        <n v="-553.36"/>
        <n v="-16913.23"/>
        <n v="-6040.44"/>
        <n v="41000"/>
        <n v="-41573.98"/>
        <n v="63551.52"/>
        <n v="-63622.91"/>
        <n v="62802.65"/>
        <n v="-24167.75"/>
        <n v="63622.91"/>
        <n v="24167.75"/>
        <n v="-28.52"/>
        <n v="-9000"/>
        <n v="-21942.97"/>
        <n v="-32679.94"/>
        <n v="25780.07"/>
        <n v="-5.61"/>
        <n v="-11817.31"/>
        <n v="703"/>
        <n v="228"/>
        <n v="65798.15"/>
        <n v="-64785.38"/>
        <n v="93317.37"/>
        <n v="-94311.43"/>
        <n v="-36"/>
        <n v="-30"/>
        <n v="-45"/>
        <n v="95445.55"/>
        <n v="2.24"/>
        <n v="-21674.42"/>
        <n v="-28355.16"/>
        <n v="-25036.23"/>
        <n v="-21223.92"/>
        <n v="10762.05"/>
        <n v="10712.15"/>
        <n v="-20653.29"/>
        <n v="21674.42"/>
        <n v="28355.16"/>
        <n v="25036.23"/>
        <n v="21223.92"/>
        <n v="20653.29"/>
        <n v="-10762.05"/>
        <n v="-10712.15"/>
        <n v="2.95"/>
        <n v="-11523.26"/>
        <n v="-20433.05"/>
        <n v="20433.05"/>
        <n v="11523.26"/>
        <n v="11872.51"/>
        <n v="-20506.96"/>
        <n v="-5.34"/>
        <n v="-20036.81"/>
        <n v="-11025.6"/>
        <n v="-19156.54"/>
        <n v="-16665.76"/>
        <n v="-8815.6"/>
        <n v="19973.2"/>
        <n v="9834.55"/>
        <n v="-10085.6"/>
        <n v="20772.15"/>
        <n v="-9911.19"/>
        <n v="9911.19"/>
        <n v="-200.22"/>
        <n v="-1791.72"/>
        <n v="-13943.58"/>
        <n v="-8635.98"/>
        <n v="-3983.88"/>
        <n v="-12080.22"/>
        <n v="-0.58"/>
        <n v="-78.94"/>
        <n v="-37.5"/>
        <n v="-7979.37"/>
        <n v="8495.89"/>
        <n v="10064.62"/>
        <n v="7979.37"/>
        <n v="-10039.38"/>
        <n v="-30054.01"/>
        <n v="-9791.06"/>
        <n v="9959.72"/>
        <n v="9791.06"/>
        <n v="-2916.63"/>
        <n v="-7018.16"/>
        <n v="-77.75"/>
        <n v="53000"/>
        <n v="-20036.21"/>
        <n v="31750.55"/>
        <n v="-9741"/>
        <n v="95721.44"/>
        <n v="-99612.45"/>
        <n v="-14917.59"/>
        <n v="28294.03"/>
        <n v="9741"/>
        <n v="99612.45"/>
        <n v="14917.59"/>
        <n v="-14205.76"/>
        <n v="-86.96"/>
        <n v="-86.22"/>
        <n v="-66.36"/>
        <n v="-13.8"/>
        <n v="-2.27"/>
        <n v="-31411.03"/>
        <n v="-7803"/>
        <n v="-7635"/>
        <n v="33066.85"/>
        <n v="-24007.44"/>
        <n v="-8960.15"/>
        <n v="8960.15"/>
        <n v="-32009.92"/>
        <n v="-7475"/>
        <n v="-7027"/>
        <n v="7235"/>
        <n v="-8064.16"/>
        <n v="9575.11"/>
        <n v="9580.1"/>
        <n v="8064.16"/>
        <n v="-9551.34"/>
        <n v="-9556.31"/>
        <n v="8005"/>
        <n v="10429.25"/>
        <n v="24082.53"/>
        <n v="-9935.13"/>
        <n v="-64.87"/>
        <n v="-4431.64"/>
        <n v="-5971.27"/>
        <n v="8155"/>
        <n v="18274.83"/>
        <n v="41504.36"/>
        <n v="43003.77"/>
        <n v="10968.71"/>
        <n v="-41.87"/>
        <n v="-20.76"/>
        <n v="-10.4"/>
        <n v="-7.48"/>
        <n v="-41392.56"/>
        <n v="-18774.2"/>
        <n v="28803.07"/>
        <n v="-10086.38"/>
        <n v="-41126.39"/>
        <n v="51131.43"/>
        <n v="18694.28"/>
        <n v="10086.38"/>
        <n v="41126.39"/>
        <n v="-316.27"/>
        <n v="-1381.79"/>
        <n v="-39428.33"/>
        <n v="-9570.82"/>
        <n v="9570.82"/>
        <n v="9630.05"/>
        <n v="-2.22"/>
        <n v="-19622.16"/>
        <n v="62731.93"/>
        <n v="-89290.81"/>
        <n v="19622.16"/>
        <n v="89290.81"/>
        <n v="52423.74"/>
        <n v="28341.21"/>
        <n v="-16986.46"/>
        <n v="20053.1"/>
        <n v="-19932.5"/>
        <n v="19932.5"/>
        <n v="-376.92"/>
        <n v="-13.65"/>
        <n v="17376.01"/>
        <n v="-17206.53"/>
        <n v="40166.11"/>
        <n v="20252.83"/>
        <n v="-40057.92"/>
        <n v="-20198.28"/>
        <n v="-16626.35"/>
        <n v="-33452.77"/>
        <n v="17176.27"/>
        <n v="-20042.62"/>
        <n v="139183.22"/>
        <n v="-39204.28"/>
        <n v="20042.62"/>
        <n v="39204.28"/>
        <n v="-89.4"/>
        <n v="-9.24"/>
        <n v="-28657.69"/>
        <n v="33913.11"/>
        <n v="-16686.37"/>
        <n v="36179.4"/>
        <n v="-40045.2"/>
        <n v="40045.2"/>
        <n v="-5"/>
        <n v="-2"/>
        <n v="-24487.59"/>
        <n v="-25838.01"/>
        <n v="-25537.91"/>
        <n v="-34613.13"/>
        <n v="40226.04"/>
        <n v="-6017.65"/>
        <n v="-32094.14"/>
        <n v="-1092.49"/>
        <n v="-913.4"/>
        <n v="-18.18"/>
        <n v="17695.59"/>
        <n v="-19441.96"/>
        <n v="19441.96"/>
        <n v="-16886.43"/>
        <n v="-24667.64"/>
        <n v="-7775.6"/>
        <n v="-83725.95"/>
        <n v="50936.99"/>
        <n v="-52240.39"/>
        <n v="50624.3"/>
        <n v="52663.67"/>
        <n v="-25808"/>
        <n v="42236.91"/>
        <n v="42136.93"/>
        <n v="-9640.3"/>
        <n v="26811.69"/>
        <n v="-26528.22"/>
        <n v="-7885"/>
        <n v="-9335.3"/>
        <n v="-27008.37"/>
        <n v="-38772.8"/>
        <n v="-59016.03"/>
        <n v="59016.03"/>
        <n v="-7619"/>
        <n v="-36461.31"/>
        <n v="10394.38"/>
        <n v="10479.29"/>
        <n v="10509.26"/>
        <n v="10709.06"/>
        <n v="-10368.15"/>
        <n v="-10452.8"/>
        <n v="-10482.68"/>
        <n v="-7828.17"/>
        <n v="-2853.71"/>
        <n v="-109.15"/>
        <n v="27471.48"/>
        <n v="7845"/>
        <n v="7965"/>
        <n v="63335.65"/>
        <n v="10759"/>
        <n v="10843.92"/>
        <n v="-10685.21"/>
        <n v="-10495.21"/>
        <n v="-39.93"/>
        <n v="-27.38"/>
        <n v="-16588.25"/>
        <n v="-21310.78"/>
        <n v="-4210.99"/>
        <n v="-18949.52"/>
        <n v="-10731.67"/>
        <n v="-1707.56"/>
        <n v="-2105.51"/>
        <n v="7886.94"/>
        <n v="-1965"/>
        <n v="-5882"/>
        <n v="-7929"/>
        <n v="-21664.23"/>
        <n v="21771"/>
        <n v="11133.63"/>
        <n v="-7768.7"/>
        <n v="21664.23"/>
        <n v="7768.7"/>
        <n v="68428.14"/>
        <n v="-7729"/>
        <n v="-7735.15"/>
        <n v="-7795"/>
        <n v="15547"/>
        <n v="15479.18"/>
        <n v="-15461"/>
        <n v="-13005.26"/>
        <n v="-22184.82"/>
        <n v="7856.97"/>
        <n v="-21814.41"/>
        <n v="98418.93"/>
        <n v="22184.82"/>
        <n v="21814.41"/>
        <n v="-372.86"/>
        <n v="-21811.96"/>
        <n v="-21397"/>
        <n v="-417.41"/>
        <n v="-1.8"/>
        <n v="15643"/>
        <n v="-12855.26"/>
        <n v="15751"/>
        <n v="12881.85"/>
        <n v="-25908.55"/>
        <n v="-15733"/>
        <n v="-44908.24"/>
        <n v="44908.24"/>
        <n v="26944.12"/>
        <n v="7971"/>
        <n v="8009"/>
        <n v="-60019.8"/>
        <n v="13820.88"/>
        <n v="-62215.53"/>
        <n v="-100000"/>
        <n v="-20.84"/>
        <n v="123855.04"/>
        <n v="-62570.64"/>
        <n v="-75000"/>
        <n v="21166.81"/>
        <n v="21201.77"/>
        <n v="20932.12"/>
        <n v="-21237"/>
        <n v="-42664.07"/>
        <n v="42393.54"/>
        <n v="-13095"/>
        <n v="41824.3"/>
        <n v="-19295.37"/>
        <n v="-7425"/>
        <n v="17676.46"/>
        <n v="17466.74"/>
        <n v="-18325.68"/>
        <n v="-18365.69"/>
        <n v="-6223"/>
        <n v="100000"/>
        <n v="-105707.16"/>
        <n v="6545"/>
        <n v="40133.41"/>
        <n v="-40000"/>
        <n v="-12365.25"/>
        <n v="-12992"/>
        <n v="-12835"/>
        <n v="114847.52"/>
        <n v="13591.39"/>
        <n v="13081.64"/>
        <n v="13551.43"/>
        <n v="18665.15"/>
        <n v="-57033.81"/>
        <n v="57033.81"/>
        <n v="-34211.28"/>
        <n v="-8115"/>
        <n v="-68861.34"/>
        <n v="-14695.29"/>
        <n v="8086.9"/>
        <n v="14460.23"/>
        <n v="-17695.83"/>
        <n v="17936.11"/>
        <n v="-16099.03"/>
        <n v="-1788.77"/>
        <n v="18560.57"/>
        <n v="-97.54"/>
        <n v="-18463.03"/>
        <n v="13341.38"/>
        <n v="6907.94"/>
        <n v="7167.68"/>
        <n v="-7105.14"/>
        <n v="-14105"/>
        <n v="-20682.98"/>
        <n v="-4.8"/>
        <n v="72.5"/>
        <n v="14393.59"/>
        <n v="34.14"/>
        <n v="66279.45"/>
        <n v="-50000"/>
        <n v="-90000"/>
        <n v="-8067.5"/>
        <n v="6675"/>
        <n v="1715.5"/>
        <n v="20073.27"/>
        <n v="10324.45"/>
        <n v="-10150.2"/>
        <n v="10309.46"/>
        <n v="-10570.21"/>
        <n v="10734.03"/>
        <n v="-10220.2"/>
        <n v="-11405.23"/>
        <n v="10304.47"/>
        <n v="10896.87"/>
        <n v="-10605.21"/>
        <n v="10669.1"/>
        <n v="9125.68"/>
        <n v="-9017.18"/>
        <n v="14980"/>
        <n v="-11965.24"/>
        <n v="-10305.21"/>
        <n v="-10445.21"/>
        <n v="-4975"/>
        <n v="-12045"/>
        <n v="-13185.26"/>
        <n v="13321.39"/>
        <n v="-13165.26"/>
        <n v="12502.48"/>
        <n v="-18400.59"/>
        <n v="18400.59"/>
        <n v="13421.29"/>
        <n v="-9865"/>
        <n v="-18856.22"/>
        <n v="-4999.52"/>
        <n v="34.76"/>
        <n v="9794.99"/>
        <n v="11393.36"/>
        <n v="-8815.18"/>
        <n v="-8875.18"/>
        <n v="-17985.93"/>
        <n v="10039.74"/>
        <n v="-42.7"/>
        <n v="-9770.56"/>
        <n v="-8630.03"/>
        <n v="14.45"/>
        <n v="19843.57"/>
        <n v="11368.38"/>
        <n v="13461.25"/>
        <n v="-11294.23"/>
        <n v="-17825.88"/>
        <n v="-13285.27"/>
        <n v="-17705.84"/>
        <n v="-17459.53"/>
        <n v="17459.53"/>
        <n v="-7805"/>
        <n v="-15136.63"/>
        <n v="15136.63"/>
        <n v="-16798.8"/>
        <n v="24767.01"/>
        <n v="-19326.38"/>
        <n v="-20006.2"/>
        <n v="16798.8"/>
        <n v="19673.8"/>
        <n v="7847.14"/>
        <n v="-19006.27"/>
        <n v="-21644.21"/>
        <n v="-18190.35"/>
        <n v="18705.09"/>
        <n v="15849.13"/>
        <n v="21644.21"/>
        <n v="18190.35"/>
        <n v="-28.08"/>
        <n v="10000.7"/>
        <n v="-18115.97"/>
        <n v="18345.57"/>
        <n v="-18085.96"/>
        <n v="-9639.78"/>
        <n v="9639.78"/>
        <n v="-14205.89"/>
        <n v="14205.89"/>
        <n v="-4535"/>
        <n v="-5145"/>
        <n v="5239.75"/>
        <n v="-5325"/>
        <n v="5459.53"/>
        <n v="-5035"/>
        <n v="5189.8"/>
        <n v="102"/>
        <n v="-7520.15"/>
        <n v="-12445.25"/>
        <n v="-5851"/>
        <n v="-6227"/>
        <n v="6720.27"/>
        <n v="7627.21"/>
        <n v="-8840.18"/>
        <n v="-13825.85"/>
        <n v="-174.15"/>
        <n v="-9660.81"/>
        <n v="9660.81"/>
        <n v="15000"/>
        <n v="9924.86"/>
        <n v="-19536.44"/>
        <n v="-9900.04"/>
        <n v="-9590.73"/>
        <n v="9590.73"/>
        <n v="9675.12"/>
        <n v="-9651.05"/>
        <n v="9919.86"/>
        <n v="-21203.72"/>
        <n v="-9906.08"/>
        <n v="9814.97"/>
        <n v="9906.08"/>
        <n v="21203.72"/>
        <n v="-2093.12"/>
        <n v="-7801.93"/>
        <n v="-1837.85"/>
        <n v="-7952.63"/>
        <n v="-246.89"/>
        <n v="-100.72"/>
        <n v="6121"/>
        <n v="-9620.76"/>
        <n v="19533.99"/>
        <n v="9445.35"/>
        <n v="-19882.25"/>
        <n v="9620.76"/>
        <n v="19882.25"/>
        <n v="-19481.37"/>
        <n v="-1708.18"/>
        <n v="-7713.79"/>
        <n v="-13.84"/>
        <n v="-5871"/>
        <n v="20377.86"/>
        <n v="-18670.89"/>
        <n v="-18390.58"/>
        <n v="18670.89"/>
        <n v="18390.58"/>
        <n v="-1722.35"/>
        <n v="-18600.61"/>
        <n v="-1876.94"/>
        <n v="-6513.13"/>
        <n v="-8.41"/>
        <n v="-6.52"/>
        <n v="-11.5"/>
        <n v="19444.1"/>
        <n v="-3107.63"/>
        <n v="-16284.1"/>
        <n v="-10.36"/>
        <n v="11368.35"/>
        <n v="6079"/>
        <n v="13001.72"/>
        <n v="-19561.88"/>
        <n v="19484.05"/>
        <n v="19561.88"/>
        <n v="-3633.68"/>
        <n v="-9333.98"/>
        <n v="-2386.79"/>
        <n v="-17044.78"/>
        <n v="-23.57"/>
        <n v="-9.21"/>
        <n v="-6137"/>
        <n v="-10970.22"/>
        <n v="10873.89"/>
        <n v="-10700.21"/>
        <n v="6147"/>
        <n v="10694.08"/>
        <n v="7237.6"/>
        <n v="-6805.14"/>
        <n v="6758.09"/>
        <n v="-6795.14"/>
        <n v="6808.04"/>
        <n v="-17130.65"/>
        <n v="7.7"/>
        <n v="10.39"/>
        <n v="-12133.33"/>
        <n v="12133.33"/>
        <n v="250"/>
        <n v="18100.89"/>
        <n v="-13695.32"/>
        <n v="13695.32"/>
        <n v="-19997.8"/>
        <n v="12342.64"/>
        <n v="-59.04"/>
        <n v="-7.5"/>
        <n v="-12694.2"/>
        <n v="12881.84"/>
        <n v="12694.2"/>
        <n v="-7464.82"/>
        <n v="-5383.32"/>
        <n v="-338.61"/>
        <n v="-6233"/>
        <n v="6309"/>
        <n v="5522.76"/>
        <n v="-11489.23"/>
        <n v="-12765.26"/>
        <n v="10.25"/>
        <n v="18625.2"/>
        <n v="-6885.14"/>
        <n v="-6695.13"/>
        <n v="18695.11"/>
        <n v="13661.05"/>
        <n v="-1281.64"/>
        <n v="-39.64"/>
        <n v="-13065.26"/>
        <n v="13701.01"/>
        <n v="-8822.57"/>
        <n v="-4842.28"/>
        <n v="-370.94"/>
        <n v="-13325.27"/>
        <n v="13760.94"/>
        <n v="-10955"/>
        <n v="-7692.5"/>
        <n v="-12507.25"/>
        <n v="1500"/>
        <n v="21571.27"/>
        <n v="-1345.8"/>
        <n v="-36.7"/>
        <n v="-349.47"/>
        <n v="12977.74"/>
        <n v="-885.25"/>
        <n v="-500"/>
        <n v="-114.75"/>
        <n v="7832.5"/>
        <n v="7157.69"/>
        <n v="13361.35"/>
        <n v="-13225.26"/>
        <n v="-6281"/>
        <n v="6245"/>
        <n v="6.56"/>
        <n v="7.97"/>
        <n v="-14495"/>
        <n v="-99984"/>
        <n v="100006.13"/>
        <n v="-10655"/>
        <n v="-13245.26"/>
        <n v="-12965.26"/>
        <n v="-6205"/>
        <n v="-13145.26"/>
        <n v="-10535"/>
        <n v="-14009"/>
        <n v="-32660.78"/>
        <n v="-39991.2"/>
        <n v="-7077.92"/>
        <n v="7077.92"/>
        <n v="40002.46"/>
        <n v="7317.52"/>
        <n v="-1.64"/>
        <n v="14542.44"/>
        <n v="-39986.4"/>
        <n v="-6023"/>
        <n v="-934.25"/>
        <n v="-180"/>
        <n v="-65.75"/>
        <n v="15279.7"/>
        <n v="-10685"/>
        <n v="-8725.18"/>
        <n v="40002.52"/>
        <n v="6337"/>
        <n v="-8795.18"/>
        <n v="5878.53"/>
        <n v="2799.3"/>
        <n v="18818.94"/>
        <n v="10934.05"/>
        <n v="-39994.8"/>
        <n v="3915.99"/>
        <n v="-5871.17"/>
        <n v="40002.57"/>
        <n v="10154.63"/>
        <n v="5949.04"/>
        <n v="-75"/>
        <n v="-10895"/>
        <n v="-16265.36"/>
        <n v="17876.18"/>
        <n v="-27769.17"/>
        <n v="15998.66"/>
        <n v="27922.81"/>
        <n v="-17665.82"/>
        <n v="-28109.27"/>
        <n v="-10865"/>
        <n v="17796.3"/>
        <n v="-17645.82"/>
        <n v="11683.3"/>
        <n v="28142.52"/>
        <n v="-14185"/>
        <n v="17836.24"/>
        <n v="-14375"/>
        <n v="-17625.81"/>
        <n v="-13304.89"/>
        <n v="13304.89"/>
        <n v="18315.6"/>
        <n v="-14075"/>
        <n v="35143.9"/>
        <n v="-13935"/>
        <n v="-13364.96"/>
        <n v="-13394.99"/>
        <n v="13364.96"/>
        <n v="13394.99"/>
        <n v="-9677"/>
        <n v="-13755"/>
        <n v="-13175"/>
        <n v="9820"/>
        <n v="-9849.2"/>
        <n v="28282.33"/>
        <n v="-12705"/>
        <n v="37331.03"/>
        <n v="-6531"/>
        <n v="-12695.25"/>
        <n v="-27.99"/>
        <n v="-55.99"/>
        <n v="6481"/>
        <n v="12582.15"/>
        <n v="-6447"/>
        <n v="-11135"/>
        <n v="8475.74"/>
        <n v="1000"/>
        <n v="-9250"/>
        <n v="-3825.08"/>
        <n v="6469"/>
        <n v="11713.27"/>
        <n v="11623.36"/>
        <n v="3896.01"/>
        <n v="-39412.21"/>
        <n v="29000"/>
        <n v="-40845.48"/>
        <n v="15079.6"/>
        <n v="-482.37"/>
        <n v="-4.51"/>
        <n v="-344.16"/>
        <n v="40446.93"/>
        <n v="-39995.2"/>
        <n v="-9998.8"/>
        <n v="-14805.3"/>
        <n v="14939.74"/>
        <n v="-7070.14"/>
        <n v="-14565.29"/>
        <n v="71404.89"/>
        <n v="-111.97"/>
        <n v="-72601.55"/>
        <n v="450"/>
        <n v="49998.5"/>
        <n v="-21126.97"/>
        <n v="-12345.25"/>
        <n v="44.19"/>
        <n v="-738.2"/>
        <n v="-129.72"/>
        <n v="-13825.28"/>
        <n v="12492.23"/>
        <n v="-14360"/>
        <n v="6313.52"/>
        <n v="14110.87"/>
        <n v="-13545.27"/>
        <n v="-8821.18"/>
        <n v="60194.05"/>
        <n v="-12566.69"/>
        <n v="-14.56"/>
        <n v="-127.45"/>
        <n v="-127.1"/>
        <n v="13740.96"/>
        <n v="8946.86"/>
        <n v="-20"/>
        <n v="-9"/>
        <n v="-13565.27"/>
        <n v="-13725.28"/>
        <n v="7000"/>
        <n v="-13334.92"/>
        <n v="13334.92"/>
        <n v="-8987.9"/>
        <n v="5.59"/>
        <n v="30.51"/>
        <n v="9007.6"/>
        <n v="-9035.18"/>
        <n v="-26328.69"/>
        <n v="26844.25"/>
        <n v="-26688.8"/>
        <n v="26964.08"/>
        <n v="-27068.93"/>
        <n v="6871"/>
        <n v="9315.48"/>
        <n v="-19994.8"/>
        <n v="-11"/>
        <n v="20002.53"/>
        <n v="27203.78"/>
        <n v="85426.23"/>
        <n v="-13025.26"/>
        <n v="-16380.41"/>
        <n v="13141.58"/>
        <n v="-11735"/>
        <n v="-15543.31"/>
        <n v="-8502.5"/>
        <n v="-16180.33"/>
        <n v="11833.15"/>
        <n v="39000"/>
        <n v="-48148.72"/>
        <n v="-38856.04"/>
        <n v="8620"/>
        <n v="16378.19"/>
        <n v="-20122.51"/>
        <n v="20122.51"/>
        <n v="11880.2"/>
        <n v="81214.82"/>
        <n v="-109978"/>
        <n v="20342.91"/>
        <n v="-18.67"/>
        <n v="9000"/>
        <n v="-50952.76"/>
        <n v="33405.51"/>
        <n v="12615"/>
        <n v="-12615"/>
        <n v="110015.32"/>
        <n v="-3364.73"/>
        <n v="-70000"/>
        <n v="-43030.32"/>
        <n v="12485"/>
        <n v="-9470"/>
        <n v="38312.04"/>
        <n v="-25407.87"/>
        <n v="-12461"/>
        <n v="50573.66"/>
        <n v="-51016.83"/>
        <n v="17208.59"/>
        <n v="16268.33"/>
        <n v="-58222.2"/>
        <n v="37330.28"/>
        <n v="-12585"/>
        <n v="12322.86"/>
        <n v="13045"/>
        <n v="-25367.86"/>
        <n v="-37835.74"/>
        <n v="-9625"/>
        <n v="59515.74"/>
        <n v="-12055"/>
        <n v="-30859.53"/>
        <n v="10374.4"/>
        <n v="30859.53"/>
        <n v="-10348.13"/>
        <n v="14765"/>
        <n v="11645"/>
        <n v="-13285"/>
        <n v="-13125"/>
        <n v="18110.88"/>
        <n v="20732.38"/>
        <n v="-4.76"/>
        <n v="-20511.4"/>
        <n v="4710.4"/>
        <n v="-16905.58"/>
        <n v="25232.18"/>
        <n v="-13037"/>
        <n v="-5276.88"/>
        <n v="17351.88"/>
        <n v="-12075"/>
        <n v="80000"/>
        <n v="29939.3"/>
        <n v="-29981.7"/>
        <n v="-79957.6"/>
        <n v="-43648.83"/>
        <n v="43648.83"/>
        <n v="110002.54"/>
        <n v="-30003.34"/>
        <n v="-79999.2"/>
        <n v="-17993.28"/>
        <n v="9305"/>
        <n v="-9305"/>
        <n v="17155.66"/>
        <n v="-17155.66"/>
        <n v="80020.93"/>
        <n v="17894.45"/>
        <n v="-80021.93"/>
        <n v="24938.73"/>
        <n v="-24937.73"/>
        <n v="-9985.9"/>
        <n v="59932.8"/>
        <n v="-59932.8"/>
        <n v="66727.13"/>
        <n v="-182.19"/>
        <n v="60015.14"/>
        <n v="5.51"/>
        <n v="19.3"/>
        <n v="-60016.14"/>
        <n v="63.22"/>
        <n v="16423.93"/>
        <n v="-16505.45"/>
        <n v="9997.4"/>
        <n v="-9997.4"/>
        <n v="-31000"/>
        <n v="31000"/>
        <n v="28996.7"/>
        <n v="-9995.7"/>
        <n v="-30000.6"/>
        <n v="-10000.2"/>
        <n v="10000.88"/>
        <n v="-10000"/>
        <n v="10000.9"/>
        <n v="-60040.26"/>
        <n v="30021.81"/>
        <n v="10007.47"/>
        <n v="10008.22"/>
        <n v="11.19"/>
        <n v="-11075"/>
        <n v="10726"/>
        <n v="-10725"/>
        <n v="-19581.91"/>
        <n v="19581.91"/>
        <n v="-11115"/>
        <n v="11115"/>
        <n v="-16902.48"/>
        <n v="16902.48"/>
        <n v="-150.34"/>
        <n v="-18.16"/>
        <n v="-19431.57"/>
        <n v="17585.8"/>
        <n v="-17585.8"/>
        <n v="-15030.9"/>
        <n v="25856.08"/>
        <n v="24393.79"/>
        <n v="-24727.66"/>
        <n v="60896.75"/>
        <n v="18814.94"/>
        <n v="17077.26"/>
        <n v="-10145"/>
        <n v="-86000.86"/>
        <n v="-86679.09"/>
        <n v="86035.06"/>
        <n v="0.03"/>
        <n v="86679.05"/>
        <n v="11005"/>
        <n v="-97000.97"/>
        <n v="-97726.11"/>
        <n v="97043.05"/>
        <n v="0.07"/>
        <n v="11263.72"/>
        <n v="-2.5"/>
        <n v="24938.74"/>
        <n v="-11165"/>
        <n v="22370.21"/>
        <n v="-10925.17"/>
        <n v="11293.69"/>
        <n v="23069.28"/>
        <n v="111.03"/>
        <n v="-21686.72"/>
        <n v="21571.7"/>
        <n v="-21406.63"/>
        <n v="-11195"/>
        <n v="-24687.62"/>
        <n v="24687.62"/>
        <n v="11383.6"/>
        <n v="21851.34"/>
        <n v="-11285"/>
        <n v="11123.86"/>
        <n v="24727.66"/>
        <n v="-24757.67"/>
        <n v="-25147.79"/>
        <n v="-21312.04"/>
        <n v="21312.04"/>
        <n v="100001"/>
        <n v="-100002"/>
        <n v="16.59"/>
        <n v="4.56"/>
        <n v="325.11"/>
        <n v="24819.12"/>
        <n v="7005"/>
        <n v="-7005"/>
        <n v="19120"/>
        <n v="-7705"/>
        <n v="7625"/>
        <n v="-7615"/>
        <n v="-11425"/>
        <n v="11405"/>
        <n v="-11405"/>
        <n v="-13975"/>
        <n v="13975"/>
        <n v="-4789"/>
        <n v="-22393.06"/>
        <n v="22393.06"/>
        <n v="19999"/>
        <n v="-30984.67"/>
        <n v="30984.67"/>
        <n v="58894.27"/>
        <n v="-58188.03"/>
        <n v="20334.01"/>
        <n v="-21040.25"/>
        <n v="282.5"/>
        <n v="26764.35"/>
        <n v="-577.79"/>
        <n v="-122.21"/>
        <n v="-26692.26"/>
        <n v="21040.25"/>
        <n v="-20905.68"/>
        <n v="-20421.68"/>
        <n v="20288.11"/>
        <n v="20421.68"/>
        <n v="-19824.14"/>
        <n v="-9678.82"/>
        <n v="9560.23"/>
        <n v="9678.82"/>
        <n v="-9536.5"/>
        <n v="20223.47"/>
        <n v="-20148.24"/>
        <n v="19926.86"/>
        <n v="-20474.35"/>
        <n v="-19325.99"/>
        <n v="-481.94"/>
        <n v="-18.06"/>
        <n v="400"/>
        <n v="-21548.68"/>
        <n v="-17719.47"/>
        <n v="21548.68"/>
        <n v="17719.47"/>
        <n v="19546.35"/>
        <n v="-20318.17"/>
        <n v="20318.17"/>
        <n v="-5138.45"/>
        <n v="-15705"/>
        <n v="-11385.2"/>
        <n v="-5049.7"/>
        <n v="16434.9"/>
        <n v="1.47"/>
        <n v="2.18"/>
        <n v="-5015.3"/>
        <n v="5015.3"/>
        <n v="109.59"/>
        <n v="15773.23"/>
        <n v="-15885"/>
        <n v="-16374.92"/>
        <n v="16374.92"/>
        <n v="22140.64"/>
        <n v="-21486.66"/>
        <n v="30649.8"/>
        <n v="-10960.22"/>
        <n v="-21723.87"/>
        <n v="21723.87"/>
        <n v="-94.53"/>
        <n v="-23.25"/>
        <n v="562.5"/>
        <n v="-1217.48"/>
        <n v="22120.98"/>
        <n v="-21949.12"/>
        <n v="21949.12"/>
        <n v="-512.72"/>
        <n v="-165"/>
        <n v="-21073.16"/>
        <n v="21073.16"/>
        <n v="1200"/>
        <n v="-7405.39"/>
        <n v="4440"/>
        <n v="21811.39"/>
        <n v="-14405"/>
        <n v="-2852.75"/>
        <n v="-47.25"/>
        <n v="5785"/>
        <n v="-10225"/>
        <n v="11543.21"/>
        <n v="-142.32"/>
        <n v="-2.26"/>
        <n v="15035"/>
        <n v="-14965"/>
        <n v="-50"/>
        <n v="-11233.22"/>
        <n v="-24680"/>
        <n v="9715"/>
        <n v="14895"/>
        <n v="15665"/>
        <n v="-15665"/>
        <n v="11313.43"/>
        <n v="-11250.22"/>
        <n v="11852.87"/>
        <n v="-11843.4"/>
        <n v="10959.8"/>
        <n v="-10805"/>
        <n v="-11882.07"/>
        <n v="11872.6"/>
        <n v="-16075"/>
        <n v="16075"/>
        <n v="-11077.39"/>
        <n v="11077.39"/>
        <n v="15565"/>
        <n v="-15565"/>
        <n v="11178.58"/>
        <n v="-298.92"/>
        <n v="-1.08"/>
        <n v="-2.57"/>
        <n v="15635"/>
        <n v="-24367.55"/>
        <n v="24477.89"/>
        <n v="-15525"/>
        <n v="-26923.74"/>
        <n v="15335"/>
        <n v="18575.26"/>
        <n v="-18956.25"/>
        <n v="19224.38"/>
        <n v="9995.01"/>
        <n v="7505"/>
        <n v="-5795"/>
        <n v="-11705"/>
        <n v="-12312.42"/>
        <n v="12312.42"/>
        <n v="10992.77"/>
        <n v="-10847.22"/>
        <n v="8196.94"/>
        <n v="-11745"/>
        <n v="-5715"/>
        <n v="-8405"/>
        <n v="5745"/>
        <n v="11923.06"/>
        <n v="10514.25"/>
        <n v="-81.01"/>
        <n v="-9720.83"/>
        <n v="-198"/>
        <n v="11107.51"/>
        <n v="-12255"/>
        <n v="-5865"/>
        <n v="5885"/>
        <n v="-11365"/>
        <n v="12492.49"/>
        <n v="-10548.79"/>
        <n v="-22176.87"/>
        <n v="8475"/>
        <n v="-5875"/>
        <n v="11943.04"/>
        <n v="12357.62"/>
        <n v="5825"/>
        <n v="-13251.68"/>
        <n v="-5695"/>
        <n v="5765"/>
        <n v="21586.68"/>
        <n v="-30165.08"/>
        <n v="-23232.07"/>
        <n v="23232.07"/>
        <n v="30165.08"/>
        <n v="6050"/>
        <n v="5865"/>
        <n v="8285"/>
        <n v="-8355"/>
        <n v="-11845"/>
        <n v="23428.8"/>
        <n v="-5.39"/>
        <n v="12205"/>
        <n v="-12205"/>
        <n v="30290.27"/>
        <n v="-981.32"/>
        <n v="-18.68"/>
        <n v="-14"/>
        <n v="-12565"/>
        <n v="12535"/>
        <n v="-12485"/>
        <n v="12515"/>
        <n v="8815"/>
        <n v="-8845"/>
        <n v="60.75"/>
        <n v="-17425.4"/>
        <n v="12695"/>
        <n v="17294.65"/>
        <n v="-12625"/>
        <n v="29780.33"/>
        <n v="-17205.33"/>
        <n v="12435"/>
        <n v="-12445"/>
        <n v="-9555"/>
        <n v="9555"/>
        <n v="-41396.61"/>
        <n v="24712.34"/>
        <n v="33709.55"/>
        <n v="-17025.28"/>
        <n v="5615.6"/>
        <n v="9465.52"/>
        <n v="-23202.06"/>
        <n v="23202.06"/>
        <n v="-80.48"/>
        <n v="-19.52"/>
        <n v="-9442.08"/>
        <n v="11375.23"/>
        <n v="-11375.23"/>
        <n v="-5597.58"/>
        <n v="-2.42"/>
        <n v="31804.54"/>
        <n v="-18355.69"/>
        <n v="-1.75"/>
        <n v="-13.25"/>
        <n v="-10200.3"/>
        <n v="10200.3"/>
        <n v="-12106.7"/>
        <n v="13175"/>
        <n v="11892.84"/>
        <n v="-13245"/>
        <n v="10354.42"/>
        <n v="-192.16"/>
        <n v="-7.84"/>
        <n v="-2.37"/>
        <n v="23169.61"/>
        <n v="-4638.78"/>
        <n v="-18468.42"/>
        <n v="-13634.99"/>
        <n v="13635"/>
        <n v="-23061.53"/>
        <n v="22770.13"/>
        <n v="23061.53"/>
        <n v="-3480.7"/>
        <n v="-19228.1"/>
        <n v="-147.43"/>
        <n v="17734.5"/>
        <n v="-17585.45"/>
        <n v="-1.25"/>
        <n v="-13.75"/>
        <n v="13330.95"/>
        <n v="-13465"/>
        <n v="-13615"/>
        <n v="13615"/>
        <n v="43992.29"/>
        <n v="11638.34"/>
        <n v="-148.6"/>
        <n v="-276.42"/>
        <n v="-72.19"/>
        <n v="-40.73"/>
        <n v="-2.79"/>
        <n v="-6.67"/>
        <n v="-72.27"/>
        <n v="-35.33"/>
        <n v="-1845.06"/>
        <n v="-32.1"/>
        <n v="-19374.59"/>
        <n v="19374.59"/>
        <n v="-21210.6"/>
        <n v="21210.6"/>
        <n v="17685.48"/>
        <n v="-17685.48"/>
        <n v="-9280"/>
        <n v="9280"/>
        <n v="-6.94"/>
        <n v="-17665.47"/>
        <n v="2.23"/>
        <n v="9460.52"/>
        <n v="22051.08"/>
        <n v="-10745.21"/>
        <n v="-750.36"/>
        <n v="-30.72"/>
        <n v="-9437.09"/>
        <n v="-9.84"/>
        <n v="2.8"/>
        <n v="-22202.99"/>
        <n v="35588.96"/>
        <n v="-13405"/>
        <n v="101.43"/>
        <n v="-13557.8"/>
        <n v="13555"/>
        <n v="-9225"/>
        <n v="9225"/>
        <n v="18654.38"/>
        <n v="-18755.81"/>
        <n v="9340.64"/>
        <n v="-117.91"/>
        <n v="-9199.66"/>
        <n v="-28.98"/>
        <n v="13165"/>
        <n v="-13165"/>
        <n v="10334.44"/>
        <n v="-12635"/>
        <n v="12635"/>
        <n v="-21385.69"/>
        <n v="-22236.89"/>
        <n v="21385.69"/>
        <n v="999"/>
        <n v="43292.26"/>
        <n v="-43000.43"/>
        <n v="-21135.56"/>
        <n v="21135.56"/>
        <n v="-43404.93"/>
        <n v="43113.1"/>
        <n v="21621.64"/>
        <n v="-9560"/>
        <n v="9560"/>
        <n v="-177.71"/>
        <n v="-59.52"/>
        <n v="43404.93"/>
        <n v="-43415.1"/>
        <n v="43010.6"/>
        <n v="-24332.16"/>
        <n v="20063.68"/>
        <n v="-17078.54"/>
        <n v="24332.16"/>
        <n v="17078.54"/>
        <n v="-80.34"/>
        <n v="-13.23"/>
        <n v="-42.8"/>
        <n v="-6.66"/>
        <n v="-22561.28"/>
        <n v="22561.28"/>
        <n v="18866.85"/>
        <n v="-18865.85"/>
        <n v="-5049.19"/>
        <n v="18734.19"/>
        <n v="-13685"/>
        <n v="-12429.8"/>
        <n v="12429.8"/>
        <n v="17705.49"/>
        <n v="-17705.49"/>
        <n v="-161.45"/>
        <n v="-107.34"/>
        <n v="-50.77"/>
        <n v="-35.64"/>
        <n v="-41.85"/>
        <n v="23843.72"/>
        <n v="-20957.85"/>
        <n v="-2821.64"/>
        <n v="-9.72"/>
        <n v="12012.53"/>
        <n v="1192.47"/>
        <n v="-13205"/>
        <n v="-22836.41"/>
        <n v="22836.41"/>
        <n v="-12270.5"/>
        <n v="12316"/>
        <n v="23219.54"/>
        <n v="23638.99"/>
        <n v="-31793.51"/>
        <n v="19474.45"/>
        <n v="-19115.92"/>
        <n v="13575"/>
        <n v="17814.48"/>
        <n v="-90"/>
        <n v="22150.94"/>
        <n v="-16718.36"/>
        <n v="-19209.6"/>
        <n v="16718.36"/>
        <n v="19209.6"/>
        <n v="-22091.28"/>
        <n v="21.37"/>
        <n v="13535"/>
        <n v="19334.64"/>
        <n v="-13485"/>
        <n v="-19406.01"/>
        <n v="-21635.81"/>
        <n v="42194.63"/>
        <n v="23579.07"/>
        <n v="-20835.41"/>
        <n v="21635.81"/>
        <n v="20835.41"/>
        <n v="-19739.64"/>
        <n v="-22341.36"/>
        <n v="-42.53"/>
        <n v="16266.23"/>
        <n v="-17465.41"/>
        <n v="13335"/>
        <n v="19154.87"/>
        <n v="-18345.69"/>
        <n v="-12945"/>
        <n v="3850.14"/>
        <n v="12735"/>
        <n v="-16585.14"/>
        <n v="-3889.8"/>
        <n v="16754.8"/>
        <n v="-12865"/>
        <n v="-7993.97"/>
        <n v="12595.6"/>
        <n v="16454.9"/>
        <n v="-21056.53"/>
        <n v="-24847.7"/>
        <n v="20872.62"/>
        <n v="-17895.55"/>
        <n v="-495.05"/>
        <n v="-20321.35"/>
        <n v="-32.23"/>
        <n v="-20872.62"/>
        <n v="18056.32"/>
        <n v="-18007.68"/>
        <n v="-18215.65"/>
        <n v="18325.96"/>
        <n v="-1201.92"/>
        <n v="-44.86"/>
        <n v="-18655.53"/>
        <n v="18655.53"/>
        <n v="31631.67"/>
        <n v="-13325"/>
        <n v="-18305.67"/>
        <n v="-18725.44"/>
        <n v="18725.44"/>
        <n v="12745"/>
        <n v="-12745"/>
        <n v="18035.59"/>
        <n v="-18035.59"/>
        <n v="-161.46"/>
        <n v="-46.85"/>
        <n v="-122.76"/>
        <n v="-97"/>
        <n v="-25.51"/>
        <n v="-106.29"/>
        <n v="22176.87"/>
        <n v="-15637.82"/>
        <n v="15637.82"/>
        <n v="-22530.45"/>
        <n v="22530.45"/>
        <n v="10305"/>
        <n v="-10305"/>
        <n v="-7104.09"/>
        <n v="1009.09"/>
        <n v="-11765"/>
        <n v="12075"/>
        <n v="70"/>
        <n v="-11985"/>
        <n v="11915"/>
        <n v="15076"/>
        <n v="-11905"/>
        <n v="-2170"/>
        <n v="-12095"/>
        <n v="12095"/>
        <n v="-15515"/>
        <n v="15515"/>
        <n v="12.07"/>
        <n v="-156.26"/>
        <n v="-15.6"/>
        <n v="-118.8"/>
        <n v="-116.4"/>
        <n v="-9.04"/>
        <n v="-144.94"/>
        <n v="-108.86"/>
        <n v="32000"/>
        <n v="3.53"/>
        <n v="-50066.3"/>
        <n v="18066.3"/>
        <n v="4000"/>
        <n v="163.24"/>
        <n v="-16059.09"/>
        <n v="4340.56"/>
        <n v="11715"/>
        <n v="-60"/>
        <n v="16992.06"/>
        <n v="-17095.3"/>
        <n v="-15037.52"/>
        <n v="15037.52"/>
        <n v="75137.09"/>
        <n v="-30769.54"/>
        <n v="-44000.44"/>
        <n v="-44432.64"/>
        <n v="44064.53"/>
        <n v="-31269.3"/>
        <n v="31270.3"/>
        <n v="17155.32"/>
        <n v="-17155.32"/>
        <n v="-5707.76"/>
        <n v="16957.76"/>
        <n v="-11250"/>
        <n v="31889.88"/>
        <n v="-31889.88"/>
        <n v="-18784.39"/>
        <n v="15396.87"/>
        <n v="18784.39"/>
        <n v="-104.17"/>
        <n v="-15254.15"/>
        <n v="-14255.1"/>
        <n v="31150.34"/>
        <n v="-16895.24"/>
        <n v="-5062.72"/>
        <n v="16987.72"/>
        <n v="-11925"/>
        <n v="19296.01"/>
        <n v="-15307.65"/>
        <n v="15307.65"/>
        <n v="-3.34"/>
        <n v="-7190.88"/>
        <n v="-11.44"/>
        <n v="-2240.88"/>
        <n v="-87.12"/>
        <n v="-9714.03"/>
        <n v="-1118.38"/>
        <n v="1118.38"/>
        <n v="15345"/>
        <n v="-15345"/>
        <n v="15330.56"/>
        <n v="-15365"/>
        <n v="15539.43"/>
        <n v="-15505"/>
        <n v="-15574.22"/>
        <n v="31079.23"/>
        <n v="-13.68"/>
        <n v="-116.39"/>
        <n v="-87.24"/>
        <n v="-43.59"/>
        <n v="-28.4"/>
        <n v="24020"/>
        <n v="-15735"/>
        <n v="-14485"/>
        <n v="-25854.03"/>
        <n v="9955"/>
        <n v="-15895"/>
        <n v="-14565"/>
        <n v="15949.03"/>
        <n v="14495"/>
        <n v="39533.39"/>
        <n v="-14625"/>
        <n v="-16143"/>
        <n v="-8057"/>
        <n v="6500"/>
        <n v="-16250"/>
        <n v="16408.48"/>
        <n v="13075"/>
        <n v="-13761"/>
        <n v="-16345.07"/>
        <n v="15606.55"/>
        <n v="-15.39"/>
        <n v="-7364.51"/>
        <n v="-34.92"/>
        <n v="-8152.66"/>
        <n v="29950.71"/>
        <n v="48656.18"/>
        <n v="-16105"/>
        <n v="-14685"/>
        <n v="-48085.86"/>
        <n v="10918.95"/>
        <n v="-30584.54"/>
        <n v="16188.76"/>
        <n v="14715"/>
        <n v="-11305"/>
        <n v="-62204.27"/>
        <n v="40122.37"/>
        <n v="46168.52"/>
        <n v="-32249.99"/>
        <n v="10959.02"/>
        <n v="-24247.51"/>
        <n v="21451.86"/>
        <n v="-23292.76"/>
        <n v="23352.76"/>
        <n v="-30799.6"/>
        <n v="30799.61"/>
        <n v="10984.99"/>
        <n v="-10985"/>
        <n v="42183.82"/>
        <n v="10065"/>
        <n v="-10065"/>
        <n v="20942.11"/>
        <n v="24880.47"/>
        <n v="-9725"/>
        <n v="17634.53"/>
        <n v="-10010"/>
        <n v="-9295"/>
        <n v="-14135"/>
        <n v="35648.46"/>
        <n v="-12345"/>
        <n v="-9025"/>
        <n v="-10085"/>
        <n v="13441.54"/>
        <n v="9155"/>
        <n v="-13425"/>
        <n v="12912.07"/>
        <n v="-21306.79"/>
        <n v="-13145"/>
        <n v="12235"/>
        <n v="12922.06"/>
        <n v="9215"/>
        <n v="8645"/>
        <n v="-8645"/>
        <n v="-35821.96"/>
        <n v="36071.96"/>
        <n v="-9465"/>
        <n v="-8565.7"/>
        <n v="-31.82"/>
        <n v="-1314.46"/>
        <n v="-7.54"/>
        <n v="-19959.69"/>
        <n v="-120.79"/>
        <n v="-94.34"/>
        <n v="-90.74"/>
        <n v="-113.32"/>
        <n v="-92.3"/>
        <n v="-53.25"/>
        <n v="15705"/>
        <n v="9275"/>
        <n v="-13255"/>
        <n v="-11725"/>
        <n v="-19566.06"/>
        <n v="1601.88"/>
        <n v="11863.12"/>
        <n v="-22301.62"/>
        <n v="-5085"/>
        <n v="13691.29"/>
        <n v="13641.07"/>
        <n v="-13645"/>
        <n v="27244.27"/>
        <n v="-13545"/>
        <n v="6299.99"/>
        <n v="5445"/>
        <n v="-14115"/>
        <n v="20179.83"/>
        <n v="10575"/>
        <n v="-11135.2"/>
        <n v="-10765"/>
        <n v="11623.38"/>
        <n v="-9125.6"/>
        <n v="-11525"/>
        <n v="28962.01"/>
        <n v="-14825"/>
        <n v="-11825"/>
        <n v="14540.45"/>
        <n v="-15277"/>
        <n v="-197.37"/>
        <n v="-2.63"/>
        <n v="-31473.21"/>
        <n v="14929"/>
        <n v="10395"/>
        <n v="-10545"/>
        <n v="-11085"/>
        <n v="-11145"/>
        <n v="6115"/>
        <n v="15189.79"/>
        <n v="10935"/>
        <n v="-7550"/>
        <n v="20732.8"/>
        <n v="11555"/>
        <n v="-10785"/>
        <n v="10995"/>
        <n v="15195.78"/>
        <n v="-39801.02"/>
        <n v="11235"/>
        <n v="11995"/>
        <n v="10424.57"/>
        <n v="11423.56"/>
        <n v="22233.11"/>
        <n v="-24287.53"/>
        <n v="7662.32"/>
        <n v="-10885"/>
        <n v="28.99"/>
        <n v="-10130"/>
        <n v="-9864"/>
        <n v="12495"/>
        <n v="-11505"/>
        <n v="12475"/>
        <n v="-15135"/>
        <n v="11535"/>
        <n v="-18964.38"/>
        <n v="15594.38"/>
        <n v="11135"/>
        <n v="-7765"/>
        <n v="-10220"/>
        <n v="12.76"/>
        <n v="-3.33"/>
        <n v="-123.36"/>
        <n v="-118.65"/>
        <n v="-148.18"/>
        <n v="-120.7"/>
        <n v="5.74"/>
        <n v="400.97"/>
        <n v="1706.35"/>
        <n v="-10160"/>
        <n v="8046.94"/>
        <n v="7105"/>
        <n v="-7105"/>
        <n v="-18434.21"/>
        <n v="18434.21"/>
        <n v="-7695"/>
        <n v="7695"/>
        <n v="7265"/>
        <n v="-7265"/>
        <n v="7795"/>
        <n v="-678.35"/>
        <n v="-3.65"/>
        <n v="-34.54"/>
        <n v="-83.46"/>
        <n v="9755"/>
        <n v="-9755"/>
        <n v="-12974.66"/>
        <n v="-25.34"/>
        <n v="-0.61"/>
        <n v="-108.18"/>
        <n v="-135.12"/>
        <n v="-110.05"/>
        <n v="-81.29"/>
        <n v="160000"/>
        <n v="30478.19"/>
        <n v="-189880.3"/>
        <n v="190019.64"/>
        <n v="-160000"/>
        <n v="-30618.53"/>
        <n v="9456"/>
        <n v="-9455"/>
        <n v="-17.08"/>
        <n v="-97.71"/>
        <n v="-122.04"/>
        <n v="-99.4"/>
        <n v="-119.79"/>
        <n v="17550"/>
        <n v="-9745"/>
        <n v="-7755"/>
        <n v="7755"/>
        <n v="3612.53"/>
        <n v="10355"/>
        <n v="-13851"/>
        <n v="8061.92"/>
        <n v="-78.45"/>
        <n v="-7964.24"/>
        <n v="-8178.45"/>
        <n v="5155"/>
        <n v="-5155"/>
        <n v="150"/>
        <n v="3023.45"/>
        <n v="-2987"/>
        <n v="-187.45"/>
        <n v="-12.55"/>
        <n v="16218.73"/>
        <n v="-15125"/>
        <n v="7427.56"/>
        <n v="-9.88"/>
        <n v="-7400.36"/>
        <n v="-4.5"/>
        <n v="-117.15"/>
        <n v="-141.19"/>
        <n v="-20.13"/>
        <n v="-28.8"/>
        <n v="-23.52"/>
        <n v="-115.37"/>
        <n v="5.32"/>
        <n v="178.64"/>
        <n v="5030.69"/>
        <n v="-5141"/>
        <n v="290"/>
        <n v="-128.36"/>
        <n v="-18.3"/>
        <n v="-54"/>
        <n v="-54.3"/>
        <n v="-104.7"/>
        <n v="-22.5"/>
        <n v="-106.69"/>
        <n v="6060.93"/>
        <n v="-6437.8"/>
        <n v="3133.96"/>
        <n v="-72.73"/>
        <n v="-3410.27"/>
        <n v="1320"/>
        <n v="6380"/>
        <n v="-34.81"/>
        <n v="-1285.19"/>
        <n v="-6404.23"/>
        <n v="6404.23"/>
        <n v="-6125"/>
        <n v="103182.58"/>
        <n v="-6287.21"/>
        <n v="6008.98"/>
        <n v="-60.27"/>
        <n v="-3122.31"/>
        <n v="6000"/>
        <n v="-6000"/>
        <n v="-20710.35"/>
        <n v="20710.35"/>
        <n v="0.3"/>
        <n v="-0.3"/>
        <n v="4.99"/>
        <n v="22865.64"/>
        <n v="-14407.2"/>
        <n v="14553.13"/>
        <n v="14407.2"/>
        <n v="-212.39"/>
        <n v="-213.55"/>
        <n v="-411.79"/>
        <n v="-6420.57"/>
        <n v="-8616.95"/>
        <n v="-88.5"/>
        <n v="-3232.34"/>
        <n v="-418.9"/>
        <n v="-2160"/>
        <n v="-15597.8"/>
        <n v="15597.8"/>
        <n v="-15.25"/>
        <n v="-73.53"/>
        <n v="-14082.04"/>
        <n v="15676.45"/>
        <n v="14082.04"/>
        <n v="-3.05"/>
        <n v="-13147.65"/>
        <n v="-366.67"/>
        <n v="-2119.73"/>
        <n v="26160.7"/>
        <n v="22466.25"/>
        <n v="-26413.2"/>
        <n v="-13231.61"/>
        <n v="26413.2"/>
        <n v="13231.61"/>
        <n v="-18.36"/>
        <n v="-13187.92"/>
        <n v="-345.71"/>
        <n v="-12543.21"/>
        <n v="-8167.14"/>
        <n v="-207.07"/>
        <n v="-10616.44"/>
        <n v="-40.08"/>
        <n v="-3379.27"/>
        <n v="3"/>
        <n v="-0.6"/>
        <n v="-15.36"/>
        <n v="-134.64"/>
        <n v="15179.5"/>
        <n v="0.31"/>
        <n v="-42.99"/>
        <n v="-94.02"/>
        <n v="-115.84"/>
        <n v="-94.79"/>
        <n v="-140.96"/>
        <n v="-70.61"/>
        <n v="1.36"/>
        <n v="-2000"/>
        <n v="-73.33"/>
        <n v="-17.69"/>
        <n v="-104.97"/>
        <n v="-177.73"/>
        <n v="-89.03"/>
        <n v="-83.43"/>
        <n v="-119.44"/>
        <n v="-107.85"/>
        <n v="-202.23"/>
        <n v="-101.3"/>
        <n v="-6181.12"/>
        <n v="6372.49"/>
        <n v="18156.18"/>
        <n v="16714.89"/>
        <n v="-37.93"/>
        <n v="-10893.29"/>
        <n v="-9.15"/>
        <n v="-2628.62"/>
        <n v="-3049.75"/>
        <n v="-1980"/>
        <n v="9.28"/>
        <n v="-37.83"/>
        <n v="-91.52"/>
        <n v="-171.6"/>
        <n v="-85.96"/>
        <n v="1.27"/>
        <n v="-2.91"/>
        <n v="-1997.09"/>
        <n v="15027.42"/>
        <n v="-7.34"/>
        <n v="-10550.96"/>
        <n v="-13.07"/>
        <n v="-4418.43"/>
        <n v="-16118.06"/>
        <n v="16118.06"/>
        <n v="-4775.56"/>
        <n v="4745.24"/>
        <n v="16505.2"/>
        <n v="-47.04"/>
        <n v="-9663.61"/>
        <n v="-153.21"/>
        <n v="-6600.02"/>
        <n v="-8710"/>
        <n v="2999"/>
        <n v="-23"/>
        <n v="-92.1"/>
        <n v="-93.5"/>
        <n v="-16148.07"/>
        <n v="16148.07"/>
        <n v="-7925.16"/>
        <n v="7925.16"/>
        <n v="-12556.28"/>
        <n v="12556.28"/>
        <n v="-7890"/>
        <n v="-11189"/>
        <n v="7890"/>
        <n v="-142.54"/>
        <n v="-95.16"/>
        <n v="-115.93"/>
        <n v="-104.95"/>
        <n v="-49.67"/>
        <n v="-40.74"/>
        <n v="5063"/>
        <n v="-5063"/>
        <n v="440"/>
        <n v="8.59"/>
        <n v="-115.94"/>
        <n v="-116.21"/>
        <n v="-57.03"/>
        <n v="-90.22"/>
        <n v="-56.73"/>
        <n v="-142.6"/>
        <n v="-68.63"/>
        <n v="11.69"/>
        <n v="7987"/>
        <n v="-104.72"/>
        <n v="-7863.28"/>
        <n v="-1.91"/>
        <n v="-108.71"/>
        <n v="-53.36"/>
        <n v="-55.02"/>
        <n v="-7825"/>
        <n v="7825"/>
        <n v="630"/>
        <n v="8251.73"/>
        <n v="-17.21"/>
        <n v="-8214.62"/>
        <n v="-0.01"/>
        <n v="-40.16"/>
        <n v="-37.48"/>
        <n v="-561.35"/>
        <n v="-7800"/>
        <n v="7800"/>
        <n v="5610"/>
        <n v="-36.19"/>
        <n v="-5573.81"/>
        <n v="23824.26"/>
        <n v="12438.55"/>
        <n v="-14835"/>
        <n v="-27.84"/>
        <n v="-58.88"/>
        <n v="-122.49"/>
        <n v="-111.63"/>
        <n v="-280.51"/>
        <n v="-213.81"/>
        <n v="-54.34"/>
        <n v="-27.15"/>
        <n v="15536.66"/>
        <n v="-2.32"/>
        <n v="-10012.91"/>
        <n v="-1.84"/>
        <n v="-5480.69"/>
        <n v="8706.28"/>
        <n v="-11655"/>
        <n v="-6.25"/>
        <n v="-2444.47"/>
        <n v="-6199.48"/>
        <n v="8811.17"/>
        <n v="-1.47"/>
        <n v="-6356.8"/>
        <n v="-23.79"/>
        <n v="-2407.63"/>
        <n v="7802.02"/>
        <n v="-11.43"/>
        <n v="-4988.57"/>
        <n v="11557.63"/>
        <n v="11858.12"/>
        <n v="-11605"/>
        <n v="-7300.15"/>
        <n v="7300.15"/>
        <n v="-0.56"/>
        <n v="-493.8"/>
        <n v="-124.16"/>
        <n v="-10910.17"/>
        <n v="11758.23"/>
        <n v="7242.6"/>
        <n v="-2.07"/>
        <n v="-7223.75"/>
        <n v="6.33"/>
        <n v="-1.17"/>
        <n v="-95.17"/>
        <n v="-56.15"/>
        <n v="-56.11"/>
        <n v="-6.76"/>
        <n v="0.09"/>
        <n v="-8005"/>
        <n v="-7700"/>
        <n v="-10.92"/>
        <n v="-85.95"/>
        <n v="-50.74"/>
        <n v="-50.67"/>
        <n v="-47.37"/>
        <n v="-15347.67"/>
        <n v="15347.67"/>
        <n v="-13746.87"/>
        <n v="-7280"/>
        <n v="13746.87"/>
        <n v="7280"/>
        <n v="250000"/>
        <n v="15426.81"/>
        <n v="-15527.76"/>
        <n v="15527.76"/>
        <n v="-8.97"/>
        <n v="-1679.26"/>
        <n v="-41.67"/>
        <n v="-356.08"/>
        <n v="29161.75"/>
        <n v="-249987.5"/>
        <n v="7432.55"/>
        <n v="-7401.37"/>
        <n v="-59.73"/>
        <n v="-55.82"/>
        <n v="-85.44"/>
        <n v="-44.66"/>
        <n v="-23.66"/>
        <n v="-31315.65"/>
        <n v="31315.65"/>
        <n v="31572.57"/>
        <n v="14168.71"/>
        <n v="-0.11"/>
        <n v="-67.55"/>
        <n v="-10.86"/>
        <n v="-10.15"/>
        <n v="-21.36"/>
        <n v="-19.14"/>
        <n v="-916.53"/>
        <n v="-12830.34"/>
        <n v="-10.14"/>
        <n v="-1292.76"/>
        <n v="-6.6"/>
        <n v="5"/>
        <n v="-1"/>
        <n v="17.04"/>
        <n v="250332.05"/>
        <n v="-250447.86"/>
        <n v="16165.71"/>
        <n v="-16.68"/>
        <n v="-5987.24"/>
        <n v="-64.8"/>
        <n v="-10056.52"/>
        <n v="28359.79"/>
        <n v="-28358.79"/>
        <n v="-28000"/>
        <n v="222000"/>
        <n v="-222000"/>
        <n v="-13506.75"/>
        <n v="13506.75"/>
        <n v="-15998"/>
        <n v="-6466.13"/>
        <n v="15998"/>
        <n v="13809.25"/>
        <n v="-8.89"/>
        <n v="-5471.24"/>
        <n v="-181.54"/>
        <n v="-8113.01"/>
        <n v="-13.2"/>
        <n v="22.3"/>
        <n v="-26.9"/>
        <n v="-31.31"/>
        <n v="-29.68"/>
        <n v="2.79"/>
        <n v="34.37"/>
        <n v="-13686.84"/>
        <n v="13686.84"/>
        <n v="-48.42"/>
        <n v="-151.58"/>
        <n v="17014.44"/>
        <n v="-21.4"/>
        <n v="-16950.44"/>
        <n v="6981.87"/>
        <n v="-6797"/>
        <n v="-4.25"/>
        <n v="-195.75"/>
        <n v="17353.92"/>
        <n v="-2.74"/>
        <n v="-5904.87"/>
        <n v="-56.37"/>
        <n v="-11346.5"/>
        <n v="7631.36"/>
        <n v="-7610.15"/>
        <n v="-55.5"/>
        <n v="-1.96"/>
        <n v="-43.1"/>
        <n v="-31134.28"/>
        <n v="31408.8"/>
        <n v="-13086.54"/>
        <n v="13086.54"/>
        <n v="-11825.91"/>
        <n v="-14987.49"/>
        <n v="11825.91"/>
        <n v="14987.49"/>
        <n v="-15077.54"/>
        <n v="15257.08"/>
        <n v="-12006"/>
        <n v="-15127.56"/>
        <n v="15077.54"/>
        <n v="12006"/>
        <n v="15127.56"/>
        <n v="-7.33"/>
        <n v="-2104.75"/>
        <n v="-127.56"/>
        <n v="-12979.14"/>
        <n v="15436.81"/>
        <n v="-0.7"/>
        <n v="-3018.86"/>
        <n v="-133.22"/>
        <n v="-12245.38"/>
        <n v="-7855"/>
        <n v="7855"/>
        <n v="23454.76"/>
        <n v="-70"/>
        <n v="-1.33"/>
        <n v="-1441.46"/>
        <n v="-54.67"/>
        <n v="-19.19"/>
        <n v="-8792.85"/>
        <n v="-19109.55"/>
        <n v="12431.32"/>
        <n v="19109.55"/>
        <n v="-1.38"/>
        <n v="-63.62"/>
        <n v="-2899.44"/>
        <n v="-9469.45"/>
        <n v="7862.12"/>
        <n v="10974.51"/>
        <n v="-2.56"/>
        <n v="-5518.04"/>
        <n v="-31.49"/>
        <n v="-2291.4"/>
        <n v="-10947.04"/>
        <n v="-1.28"/>
        <n v="-69.72"/>
        <n v="-0.29"/>
        <n v="-12216.11"/>
        <n v="12341.46"/>
        <n v="12216.11"/>
        <n v="-3.4"/>
        <n v="-1769.38"/>
        <n v="-58.41"/>
        <n v="-10479.27"/>
        <n v="-2132.18"/>
        <n v="-10755.38"/>
        <n v="10755.38"/>
        <n v="-21538.64"/>
        <n v="10184.7"/>
        <n v="-4.57"/>
        <n v="-1526.73"/>
        <n v="-119.34"/>
        <n v="-8508.56"/>
        <n v="-19895.05"/>
        <n v="-0.02"/>
        <n v="-1479.6"/>
        <n v="-0.03"/>
        <n v="-18721.63"/>
        <n v="-11975.99"/>
        <n v="11975.99"/>
        <n v="3700.62"/>
        <n v="50"/>
        <n v="-6.54"/>
        <n v="2.47"/>
        <n v="2.04"/>
        <n v="-23666.73"/>
        <n v="-0.06"/>
        <n v="-0.08"/>
        <n v="-0.14"/>
        <n v="12004.23"/>
        <n v="-11765.88"/>
        <n v="11765.88"/>
        <n v="-11265"/>
        <n v="-58.08"/>
        <n v="-134.69"/>
        <n v="-305.68"/>
        <n v="-155.73"/>
        <n v="-85.05"/>
        <n v="-12906.71"/>
        <n v="12906.71"/>
        <n v="9723.11"/>
        <n v="20073.67"/>
        <n v="-26000"/>
        <n v="-23.07"/>
        <n v="-2976.93"/>
        <n v="-11585.79"/>
        <n v="11585.79"/>
        <n v="-1608"/>
        <n v="12920.33"/>
        <n v="-11.78"/>
        <n v="-3642.07"/>
        <n v="-52.79"/>
        <n v="-128.48"/>
        <n v="-1197.86"/>
        <n v="-4.15"/>
        <n v="-84.95"/>
        <n v="-96.83"/>
        <n v="-177.9"/>
        <n v="-98.28"/>
        <n v="-83.77"/>
        <n v="-24.2"/>
        <n v="951.45"/>
        <n v="1692.5"/>
        <n v="-2663.11"/>
        <n v="0.06"/>
        <n v="0.02"/>
        <n v="-12666.58"/>
        <n v="12666.58"/>
        <n v="-2633"/>
        <n v="2662.94"/>
        <n v="-2993.2"/>
        <n v="6027.5"/>
        <n v="-6064.15"/>
        <n v="0.08"/>
        <n v="13090.07"/>
        <n v="-53.97"/>
        <n v="-13003.33"/>
        <n v="11742.36"/>
        <n v="12183.46"/>
        <n v="-12876.7"/>
        <n v="12876.7"/>
        <n v="-1.14"/>
        <n v="-4908.36"/>
        <n v="-6763.82"/>
        <n v="12950.28"/>
        <n v="-2.84"/>
        <n v="-1.26"/>
        <n v="-5452.29"/>
        <n v="-37.37"/>
        <n v="-7424.1"/>
        <n v="11922.09"/>
        <n v="-11993.23"/>
        <n v="-8.49"/>
        <n v="-3331.28"/>
        <n v="-50.04"/>
        <n v="-8500.11"/>
        <n v="1463"/>
        <n v="-12381.19"/>
        <n v="12381.19"/>
        <n v="-6041.3"/>
        <n v="6063.97"/>
        <n v="-32737.01"/>
        <n v="-11980.99"/>
        <n v="32737.01"/>
        <n v="11980.99"/>
        <n v="19000"/>
        <n v="-1346.33"/>
        <n v="-13076.8"/>
        <n v="12531.17"/>
        <n v="13076.8"/>
        <n v="-5.91"/>
        <n v="-3175.88"/>
        <n v="-70.98"/>
        <n v="-9247.03"/>
        <n v="-18676.14"/>
        <n v="13105.31"/>
        <n v="-13046.78"/>
        <n v="13046.78"/>
        <n v="-2518.85"/>
        <n v="-80.77"/>
        <n v="-10472.29"/>
        <n v="-1800"/>
        <n v="26279.99"/>
        <n v="-2434.42"/>
        <n v="-75.28"/>
        <n v="-61.74"/>
        <n v="-12056.4"/>
        <n v="7815.2"/>
        <n v="-9615.17"/>
        <n v="1800"/>
        <n v="2.64"/>
        <n v="-13286.91"/>
        <n v="13286.91"/>
        <n v="-0.28"/>
        <n v="-47.82"/>
        <n v="-21.25"/>
        <n v="-5461"/>
        <n v="5461.03"/>
        <n v="12101.82"/>
        <n v="-610.18"/>
        <n v="-5.97"/>
        <n v="-11454.99"/>
        <n v="5559"/>
        <n v="6721"/>
        <n v="-12282.06"/>
        <n v="13369.64"/>
        <n v="12338.83"/>
        <n v="-0.33"/>
        <n v="-1421.71"/>
        <n v="-18.93"/>
        <n v="-11895.2"/>
        <n v="4.13"/>
        <n v="3952"/>
        <n v="-3956.1"/>
        <n v="18283.83"/>
        <n v="125"/>
        <n v="12479.76"/>
        <n v="13379.63"/>
        <n v="-0.78"/>
        <n v="-485.99"/>
        <n v="-151.83"/>
        <n v="-12707.53"/>
        <n v="-18283.63"/>
        <n v="12221.4"/>
        <n v="12581.1"/>
        <n v="-13.95"/>
        <n v="-12535.65"/>
        <n v="2261"/>
        <n v="-11982.23"/>
        <n v="-17048.52"/>
        <n v="17048.52"/>
        <n v="17284.03"/>
        <n v="-6.96"/>
        <n v="-7493.83"/>
        <n v="-75.06"/>
        <n v="-9664.91"/>
        <n v="-3"/>
        <n v="-12976.75"/>
        <n v="12976.75"/>
        <n v="19026.43"/>
        <n v="-18469.34"/>
        <n v="13719.12"/>
        <n v="-3.23"/>
        <n v="-2316.08"/>
        <n v="-84.63"/>
        <n v="-11280.83"/>
        <n v="-12996.76"/>
        <n v="12996.76"/>
        <n v="-12276.14"/>
        <n v="-17408.7"/>
        <n v="12276.14"/>
        <n v="17408.7"/>
        <n v="18152.73"/>
        <n v="13199.91"/>
        <n v="12880.65"/>
        <n v="-485.05"/>
        <n v="-103.07"/>
        <n v="-99.93"/>
        <n v="-4341.65"/>
        <n v="-8705.13"/>
        <n v="-95.49"/>
        <n v="-4366.24"/>
        <n v="-8920.67"/>
        <n v="-84.68"/>
        <n v="-80.09"/>
        <n v="-3762.96"/>
        <n v="-3.29"/>
        <n v="-2.21"/>
        <n v="-67.74"/>
        <n v="-59.27"/>
        <n v="-39.13"/>
        <n v="-15.06"/>
        <n v="-11.39"/>
        <n v="-16.16"/>
        <n v="-35.7"/>
        <n v="-12366.18"/>
        <n v="-18669.33"/>
        <n v="12366.18"/>
        <n v="18669.33"/>
        <n v="-4248.82"/>
        <n v="4773.11"/>
        <n v="-1080.86"/>
        <n v="17733.36"/>
        <n v="-22.65"/>
        <n v="-15.47"/>
        <n v="-9523.95"/>
        <n v="-27.66"/>
        <n v="-8076.58"/>
        <n v="5153.47"/>
        <n v="18782.97"/>
        <n v="-18719.75"/>
        <n v="-5216.58"/>
        <n v="-12756.38"/>
        <n v="12756.38"/>
        <n v="-79.63"/>
        <n v="-49.92"/>
        <n v="-93.31"/>
        <n v="-93.35"/>
        <n v="-88.31"/>
        <n v="-125.24"/>
        <n v="-80.36"/>
        <n v="-121.24"/>
        <n v="-2.96"/>
        <n v="12674.29"/>
        <n v="-12674.23"/>
        <n v="12653.08"/>
        <n v="-12653"/>
        <n v="7500"/>
        <n v="425"/>
        <n v="13120.29"/>
        <n v="-37"/>
        <n v="-22.88"/>
        <n v="-8971.94"/>
        <n v="-33.11"/>
        <n v="-3985.51"/>
        <n v="-1452.34"/>
        <n v="-10.23"/>
        <n v="-6.27"/>
        <n v="-5973.27"/>
        <n v="-18421.37"/>
        <n v="-12726.36"/>
        <n v="12726.36"/>
        <n v="-15667.83"/>
        <n v="15667.83"/>
        <n v="13030.42"/>
        <n v="15966.01"/>
        <n v="-3017.97"/>
        <n v="-57.22"/>
        <n v="-9885.75"/>
        <n v="-3111.01"/>
        <n v="-54.12"/>
        <n v="-76.76"/>
        <n v="-408.01"/>
        <n v="-13087.44"/>
        <n v="-71.4"/>
        <n v="21.86"/>
        <n v="-29.36"/>
        <n v="-8.19"/>
        <n v="-3913.25"/>
        <n v="-8937.28"/>
        <n v="-3.35"/>
        <n v="-0.8"/>
        <n v="-125.57"/>
        <n v="-85.84"/>
        <n v="-35.4"/>
        <n v="-39.94"/>
        <n v="-14.75"/>
        <n v="2.83"/>
        <n v="29.46"/>
        <n v="-1845.04"/>
        <n v="-27901.82"/>
        <n v="28000"/>
        <n v="-1593.58"/>
        <n v="-26452.81"/>
        <n v="13121.86"/>
        <n v="3002.17"/>
        <n v="704.23"/>
        <n v="-4495"/>
        <n v="-105.4"/>
        <n v="-25.52"/>
        <n v="-138.56"/>
        <n v="-94.71"/>
        <n v="-94.41"/>
        <n v="-116.23"/>
        <n v="-76.71"/>
        <n v="-2.95"/>
        <n v="1099"/>
        <n v="-6.75"/>
        <n v="-1.6"/>
        <n v="-1184.9"/>
        <n v="-15397.7"/>
        <n v="15397.7"/>
        <n v="-0.17"/>
        <n v="0.17"/>
        <n v="-5520"/>
        <n v="-15887.94"/>
        <n v="15887.94"/>
        <n v="-6515.13"/>
        <n v="3024"/>
        <n v="3028"/>
        <n v="-3028"/>
        <n v="28982.28"/>
        <n v="-25814.52"/>
        <n v="-3167.72"/>
        <n v="6648.22"/>
        <n v="-11065"/>
        <n v="-81.31"/>
        <n v="-12.48"/>
        <n v="-2244"/>
        <n v="-112.58"/>
        <n v="-11468.32"/>
        <n v="-11.9"/>
        <n v="16328.58"/>
        <n v="-17.33"/>
        <n v="-8.35"/>
        <n v="-91.76"/>
        <n v="-91.45"/>
        <n v="-112.57"/>
        <n v="-89.25"/>
        <n v="-66.01"/>
        <n v="-62.71"/>
        <n v="20668.54"/>
        <n v="-6.98"/>
        <n v="-7201.01"/>
        <n v="-5.9"/>
        <n v="-630.28"/>
        <n v="-7881"/>
        <n v="8247.74"/>
        <n v="-28.5"/>
        <n v="-10.5"/>
        <n v="-66.5"/>
        <n v="-24.5"/>
        <n v="-13.97"/>
        <n v="-11.24"/>
        <n v="-12096.08"/>
        <n v="-21.79"/>
        <n v="-17.7"/>
        <n v="-157.42"/>
        <n v="7569.56"/>
        <n v="-7935.95"/>
        <n v="-16408.2"/>
        <n v="16408.2"/>
        <n v="8309.04"/>
        <n v="-8308.96"/>
        <n v="13511.47"/>
        <n v="8250.07"/>
        <n v="5014.97"/>
        <n v="-13265"/>
        <n v="-0.5"/>
        <n v="26.56"/>
        <n v="16375.4"/>
        <n v="-61.29"/>
        <n v="-12568.94"/>
        <n v="-79.65"/>
        <n v="-3624.52"/>
        <n v="-82.6"/>
        <n v="-99.96"/>
        <n v="-103.28"/>
        <n v="-57.13"/>
        <n v="-18.45"/>
        <n v="-77.49"/>
        <n v="1.8"/>
        <n v="16777.99"/>
        <n v="-6.33"/>
        <n v="-9101.84"/>
        <n v="-8.85"/>
        <n v="-10.71"/>
        <n v="-8145.91"/>
        <n v="18.9"/>
        <n v="-16368.18"/>
        <n v="16368.18"/>
        <n v="-20010"/>
        <n v="20010"/>
        <n v="-216"/>
        <n v="-50.41"/>
        <n v="-94.7"/>
        <n v="-121.72"/>
        <n v="-125.68"/>
        <n v="-122.65"/>
        <n v="-98.14"/>
        <n v="-19409.7"/>
        <n v="19409.7"/>
        <n v="-18659.33"/>
        <n v="18659.33"/>
        <n v="25000"/>
        <n v="-5806.11"/>
        <n v="-0.4"/>
        <n v="-18657.17"/>
        <n v="-0.18"/>
        <n v="21118.27"/>
        <n v="-84.01"/>
        <n v="-7251.79"/>
        <n v="-143.49"/>
        <n v="-184.41"/>
        <n v="-1035.42"/>
        <n v="22.27"/>
        <n v="-27.53"/>
        <n v="-47.71"/>
        <n v="0.96"/>
        <n v="7.17"/>
        <n v="-0.36"/>
        <n v="-14930"/>
        <n v="-307.65"/>
        <n v="-14559.68"/>
        <n v="14000.33"/>
        <n v="0.18"/>
        <n v="-14650.27"/>
        <n v="14650.33"/>
        <n v="-16140.89"/>
        <n v="16140.94"/>
        <n v="0.1"/>
        <n v="3116"/>
        <n v="-19905.97"/>
        <n v="19905.97"/>
        <n v="-488.49"/>
        <n v="-543.18"/>
        <n v="-2084.33"/>
        <n v="16469.38"/>
        <n v="-16469.33"/>
        <n v="-17113.47"/>
        <n v="17113.52"/>
        <n v="-19055.72"/>
        <n v="19055.72"/>
        <n v="13725.05"/>
        <n v="-13725"/>
        <n v="1391"/>
        <n v="0.2"/>
        <n v="-657.04"/>
        <n v="-982.96"/>
        <n v="11.77"/>
        <n v="-8.54"/>
        <n v="-4.23"/>
        <n v="-14181.48"/>
        <n v="14180.8"/>
        <n v="136.58"/>
        <n v="12628.47"/>
        <n v="-12765"/>
        <n v="-14100.83"/>
        <n v="14100.88"/>
        <n v="5616"/>
        <n v="-5615.95"/>
        <n v="59156.68"/>
        <n v="-59156.53"/>
        <n v="-10348.95"/>
        <n v="10307"/>
        <n v="10359"/>
        <n v="10265.05"/>
        <n v="-10317"/>
        <n v="-10265"/>
        <n v="-59322.08"/>
        <n v="59322.13"/>
        <n v="13175.13"/>
        <n v="66"/>
        <n v="11999.54"/>
        <n v="18105.04"/>
        <n v="-6159.72"/>
        <n v="-12065.24"/>
        <n v="12162.58"/>
        <n v="11728.07"/>
        <n v="-11945.24"/>
        <n v="-8729.6"/>
        <n v="12000"/>
        <n v="7905.44"/>
        <n v="-19905.4"/>
        <n v="-11825.2"/>
        <n v="12042.7"/>
        <n v="-12110.35"/>
        <n v="12012.97"/>
        <n v="11778.48"/>
        <n v="60.12"/>
        <n v="-11922.66"/>
        <n v="-12704.94"/>
        <n v="11945.28"/>
        <n v="-12042.54"/>
        <n v="12282.45"/>
        <n v="-12185.24"/>
        <n v="23493.46"/>
        <n v="-12035.24"/>
        <n v="-11885.24"/>
        <n v="-11892.56"/>
        <n v="-12012.54"/>
        <n v="85"/>
        <n v="-12247.38"/>
        <n v="4847.27"/>
        <n v="8306.51"/>
        <n v="-572.51"/>
        <n v="-927.49"/>
        <n v="14145.48"/>
        <n v="-14525"/>
        <n v="19.16"/>
        <n v="-13044.05"/>
        <n v="19.66"/>
        <n v="20023.93"/>
        <n v="-6.46"/>
        <n v="-13925.03"/>
        <n v="-457.24"/>
        <n v="-5580.97"/>
        <n v="-38"/>
        <n v="20722.99"/>
        <n v="-13.29"/>
        <n v="-14325"/>
        <n v="-834.62"/>
        <n v="-5494.09"/>
        <n v="-15459.37"/>
        <n v="15459.52"/>
        <n v="13061.92"/>
        <n v="-2.53"/>
        <n v="-10914.11"/>
        <n v="-402.22"/>
        <n v="-1708.82"/>
        <n v="-12185.19"/>
        <n v="-22.8"/>
        <n v="18651.32"/>
        <n v="-8.04"/>
        <n v="-17346.9"/>
        <n v="-866.52"/>
        <n v="-378.54"/>
        <n v="25050.05"/>
        <n v="-16785"/>
        <n v="-12425"/>
        <n v="12425"/>
        <n v="-8384.85"/>
        <n v="8515"/>
        <n v="8265.05"/>
        <n v="-8395"/>
        <n v="1712"/>
        <n v="-11335.23"/>
        <n v="11335.23"/>
        <n v="8145.05"/>
        <n v="-8265"/>
        <n v="4.14"/>
        <n v="-25.19"/>
        <n v="-1774.81"/>
        <n v="-3.19"/>
        <n v="-9.93"/>
        <n v="5.58"/>
        <n v="-8264.95"/>
        <n v="8375"/>
        <n v="13031.95"/>
        <n v="13151.83"/>
        <n v="-12.74"/>
        <n v="-12984.96"/>
        <n v="-749.63"/>
        <n v="-293.44"/>
        <n v="-389.12"/>
        <n v="-11685.13"/>
        <n v="-45.6"/>
        <n v="146.86"/>
        <n v="-8380.53"/>
        <n v="8505"/>
        <n v="11363.39"/>
        <n v="-2.73"/>
        <n v="-1.2"/>
        <n v="-2598.72"/>
        <n v="-1223.43"/>
        <n v="-7508.17"/>
        <n v="-12395"/>
        <n v="12395"/>
        <n v="13001.98"/>
        <n v="-5.49"/>
        <n v="-11.6"/>
        <n v="-12501.83"/>
        <n v="-432.98"/>
        <n v="-16.02"/>
        <n v="13661.32"/>
        <n v="-12995"/>
        <n v="13631.35"/>
        <n v="12995"/>
        <n v="-2.75"/>
        <n v="-13613.99"/>
        <n v="-4796.73"/>
        <n v="-1052.17"/>
        <n v="-7746.5"/>
        <n v="-12965"/>
        <n v="12965"/>
        <n v="6912"/>
        <n v="14050.93"/>
        <n v="-100"/>
        <n v="-15.17"/>
        <n v="-10912.83"/>
        <n v="-77.78"/>
        <n v="-2980.1"/>
        <n v="-12000"/>
        <n v="4942.19"/>
        <n v="-12875"/>
        <n v="13205"/>
        <n v="12875"/>
        <n v="16390.15"/>
        <n v="-8385"/>
        <n v="-8255"/>
        <n v="-12275"/>
        <n v="12275"/>
        <n v="-8254.95"/>
        <n v="8365"/>
        <n v="-8374.95"/>
        <n v="8495"/>
        <n v="-11435"/>
        <n v="11435"/>
        <n v="11983"/>
        <n v="-9344.9"/>
        <n v="-89.41"/>
        <n v="-2485.67"/>
        <n v="-1.39"/>
        <n v="-2.05"/>
        <n v="-54.72"/>
        <n v="-8494.85"/>
        <n v="8685"/>
        <n v="29617.02"/>
        <n v="-8555"/>
        <n v="12582.4"/>
        <n v="13211.77"/>
        <n v="-9.78"/>
        <n v="-14.36"/>
        <n v="-8849.56"/>
        <n v="-34.31"/>
        <n v="-3641.49"/>
        <n v="-8753.51"/>
        <n v="-84.34"/>
        <n v="-4339.23"/>
        <n v="-8913.64"/>
        <n v="-8544.96"/>
        <n v="-12288.28"/>
        <n v="-12575"/>
        <n v="12575"/>
        <n v="8655.15"/>
        <n v="-8594.95"/>
        <n v="-8615"/>
        <n v="8745"/>
        <n v="-11945"/>
        <n v="11945"/>
        <n v="-12305.25"/>
        <n v="11276.03"/>
        <n v="-12155.24"/>
        <n v="-11345"/>
        <n v="11345"/>
        <n v="8645.05"/>
        <n v="-20817.4"/>
        <n v="8825"/>
        <n v="24205.05"/>
        <n v="-24205"/>
        <n v="12432.29"/>
        <n v="-18755.63"/>
        <n v="18755.63"/>
        <n v="-31.65"/>
        <n v="-13.14"/>
        <n v="-7409.03"/>
        <n v="12432.3"/>
        <n v="-200"/>
        <n v="200.15"/>
        <n v="-23721.2"/>
        <n v="23721.24"/>
        <n v="12625.29"/>
        <n v="-12275.24"/>
        <n v="11825.28"/>
        <n v="19274.91"/>
        <n v="-19105.73"/>
        <n v="19105.73"/>
        <n v="-13.82"/>
        <n v="-53.19"/>
        <n v="-8655.77"/>
        <n v="-159.45"/>
        <n v="-10340.47"/>
        <n v="12192.55"/>
        <n v="-12125.24"/>
        <n v="-24361.92"/>
        <n v="12252.48"/>
        <n v="12402.33"/>
        <n v="11893.09"/>
        <n v="19224.97"/>
        <n v="-9852.07"/>
        <n v="-145.28"/>
        <n v="-1865.01"/>
        <n v="-4.11"/>
        <n v="-1.83"/>
        <n v="-2624.53"/>
        <n v="-159.19"/>
        <n v="-155.41"/>
        <n v="-3022.93"/>
        <n v="-30.4"/>
        <n v="8555.04"/>
        <n v="-8695"/>
        <n v="8415.15"/>
        <n v="-7544.95"/>
        <n v="-5198.95"/>
        <n v="-4446.2"/>
        <n v="-26.53"/>
        <n v="-10409.99"/>
        <n v="-159"/>
        <n v="-1864.44"/>
        <n v="-9570.56"/>
        <n v="-122.58"/>
        <n v="-3394.3"/>
        <n v="13781.2"/>
        <n v="-2.13"/>
        <n v="-9180.7"/>
        <n v="-110.8"/>
        <n v="-4451.17"/>
        <n v="0.41"/>
        <n v="-10.44"/>
        <n v="-107.83"/>
        <n v="-44.4"/>
        <n v="11.76"/>
        <n v="23614.05"/>
        <n v="2892.43"/>
        <n v="165"/>
        <n v="-2904"/>
        <n v="15129.84"/>
        <n v="-3.48"/>
        <n v="-5.26"/>
        <n v="-7586.73"/>
        <n v="17137.69"/>
        <n v="-0.87"/>
        <n v="-3758.27"/>
        <n v="-116.55"/>
        <n v="-13215.67"/>
        <n v="2904"/>
        <n v="-11709"/>
        <n v="-3068.87"/>
        <n v="-21734.52"/>
        <n v="21734.52"/>
        <n v="11139"/>
        <n v="-30.76"/>
        <n v="-5539.96"/>
        <n v="-212.64"/>
        <n v="-5327.21"/>
        <n v="-10925"/>
        <n v="10925"/>
        <n v="-12.8"/>
        <n v="-67.94"/>
        <n v="-34.56"/>
        <n v="-10701"/>
        <n v="10701"/>
        <n v="-13115"/>
        <n v="-12455"/>
        <n v="13115"/>
        <n v="12455"/>
        <n v="-10491"/>
        <n v="-10281"/>
        <n v="10491"/>
        <n v="10281"/>
        <n v="10481"/>
        <n v="-54.35"/>
        <n v="-10400.09"/>
        <n v="-10071"/>
        <n v="10071"/>
        <n v="-9721"/>
        <n v="9721"/>
        <n v="-12515"/>
        <n v="9991"/>
        <n v="-7.81"/>
        <n v="-3378.43"/>
        <n v="-34.72"/>
        <n v="-177.13"/>
        <n v="-6367.92"/>
        <n v="-1.29"/>
        <n v="-3.56"/>
        <n v="-13022.83"/>
        <n v="-0.54"/>
        <n v="-78.49"/>
        <n v="-5.47"/>
        <n v="10257"/>
        <n v="-7.69"/>
        <n v="-3.25"/>
        <n v="-2343.77"/>
        <n v="-15.19"/>
        <n v="-7861.21"/>
        <n v="-10057"/>
        <n v="10057"/>
        <n v="-9609"/>
        <n v="9609"/>
        <n v="13031.94"/>
        <n v="-15.05"/>
        <n v="-8.52"/>
        <n v="-3063.79"/>
        <n v="-111.11"/>
        <n v="-9799.33"/>
        <n v="-1.18"/>
        <n v="-901.67"/>
        <n v="-133.78"/>
        <n v="-11931.08"/>
        <n v="-6245"/>
        <n v="-405.6"/>
        <n v="6500.49"/>
        <n v="9879"/>
        <n v="-1183.92"/>
        <n v="-147.38"/>
        <n v="-5144.63"/>
        <n v="-7310.37"/>
        <n v="-119.15"/>
        <n v="-2424.83"/>
        <n v="0.33"/>
        <n v="-11975"/>
        <n v="11975"/>
        <n v="-1.87"/>
        <n v="-8066.17"/>
        <n v="-119.09"/>
        <n v="-4361.39"/>
        <n v="-1.09"/>
        <n v="-1.37"/>
        <n v="-79.11"/>
        <n v="11735"/>
        <n v="-10861.8"/>
        <n v="10861.8"/>
        <n v="11114.2"/>
        <n v="-11.8"/>
        <n v="-15.09"/>
        <n v="-5919.61"/>
        <n v="-42.34"/>
        <n v="-5096.9"/>
        <n v="-10485"/>
        <n v="10485"/>
        <n v="-23.6"/>
        <n v="-4.86"/>
        <n v="12312.67"/>
        <n v="-35.47"/>
        <n v="-63.56"/>
        <n v="-5184.1"/>
        <n v="-250.21"/>
        <n v="-6747.24"/>
        <n v="-14342"/>
        <n v="14342"/>
        <n v="14866.6"/>
        <n v="-4.62"/>
        <n v="-3323.76"/>
        <n v="-247.68"/>
        <n v="-301.75"/>
        <n v="-1228.18"/>
        <n v="13241.74"/>
        <n v="-18.33"/>
        <n v="-11286.82"/>
        <n v="-228.48"/>
        <n v="-1673.33"/>
        <n v="3317"/>
        <n v="-3.88"/>
        <n v="-3396.12"/>
        <n v="12852.13"/>
        <n v="-4987.55"/>
        <n v="-225.51"/>
        <n v="-7605.36"/>
        <n v="-12245"/>
        <n v="12245"/>
        <n v="10891"/>
        <n v="-2003.64"/>
        <n v="-311.07"/>
        <n v="-8547.22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08">
  <r>
    <x v="0"/>
    <x v="0"/>
    <x v="0"/>
    <x v="0"/>
    <x v="0"/>
    <x v="0"/>
    <x v="0"/>
    <x v="0"/>
    <x v="0"/>
    <x v="0"/>
    <x v="0"/>
  </r>
  <r>
    <x v="1"/>
    <x v="1"/>
    <x v="1"/>
    <x v="1"/>
    <x v="1"/>
    <x v="0"/>
    <x v="0"/>
    <x v="0"/>
    <x v="1"/>
    <x v="1"/>
    <x v="0"/>
  </r>
  <r>
    <x v="2"/>
    <x v="2"/>
    <x v="2"/>
    <x v="2"/>
    <x v="2"/>
    <x v="1"/>
    <x v="1"/>
    <x v="1"/>
    <x v="2"/>
    <x v="2"/>
    <x v="1"/>
  </r>
  <r>
    <x v="3"/>
    <x v="3"/>
    <x v="3"/>
    <x v="2"/>
    <x v="2"/>
    <x v="2"/>
    <x v="1"/>
    <x v="2"/>
    <x v="3"/>
    <x v="3"/>
    <x v="0"/>
  </r>
  <r>
    <x v="4"/>
    <x v="4"/>
    <x v="4"/>
    <x v="1"/>
    <x v="1"/>
    <x v="0"/>
    <x v="0"/>
    <x v="0"/>
    <x v="4"/>
    <x v="4"/>
    <x v="0"/>
  </r>
  <r>
    <x v="5"/>
    <x v="5"/>
    <x v="1"/>
    <x v="1"/>
    <x v="1"/>
    <x v="0"/>
    <x v="0"/>
    <x v="0"/>
    <x v="5"/>
    <x v="1"/>
    <x v="0"/>
  </r>
  <r>
    <x v="6"/>
    <x v="6"/>
    <x v="2"/>
    <x v="2"/>
    <x v="2"/>
    <x v="3"/>
    <x v="1"/>
    <x v="3"/>
    <x v="6"/>
    <x v="5"/>
    <x v="1"/>
  </r>
  <r>
    <x v="7"/>
    <x v="7"/>
    <x v="3"/>
    <x v="2"/>
    <x v="2"/>
    <x v="4"/>
    <x v="1"/>
    <x v="4"/>
    <x v="7"/>
    <x v="6"/>
    <x v="0"/>
  </r>
  <r>
    <x v="7"/>
    <x v="7"/>
    <x v="2"/>
    <x v="3"/>
    <x v="3"/>
    <x v="5"/>
    <x v="2"/>
    <x v="5"/>
    <x v="8"/>
    <x v="7"/>
    <x v="2"/>
  </r>
  <r>
    <x v="8"/>
    <x v="8"/>
    <x v="3"/>
    <x v="3"/>
    <x v="3"/>
    <x v="6"/>
    <x v="2"/>
    <x v="6"/>
    <x v="9"/>
    <x v="8"/>
    <x v="0"/>
  </r>
  <r>
    <x v="9"/>
    <x v="9"/>
    <x v="2"/>
    <x v="3"/>
    <x v="3"/>
    <x v="5"/>
    <x v="2"/>
    <x v="5"/>
    <x v="8"/>
    <x v="9"/>
    <x v="2"/>
  </r>
  <r>
    <x v="10"/>
    <x v="10"/>
    <x v="3"/>
    <x v="3"/>
    <x v="3"/>
    <x v="7"/>
    <x v="2"/>
    <x v="7"/>
    <x v="10"/>
    <x v="10"/>
    <x v="0"/>
  </r>
  <r>
    <x v="11"/>
    <x v="11"/>
    <x v="2"/>
    <x v="4"/>
    <x v="4"/>
    <x v="8"/>
    <x v="3"/>
    <x v="8"/>
    <x v="11"/>
    <x v="11"/>
    <x v="3"/>
  </r>
  <r>
    <x v="12"/>
    <x v="12"/>
    <x v="5"/>
    <x v="1"/>
    <x v="1"/>
    <x v="0"/>
    <x v="0"/>
    <x v="0"/>
    <x v="12"/>
    <x v="12"/>
    <x v="0"/>
  </r>
  <r>
    <x v="13"/>
    <x v="13"/>
    <x v="4"/>
    <x v="1"/>
    <x v="1"/>
    <x v="0"/>
    <x v="0"/>
    <x v="0"/>
    <x v="13"/>
    <x v="13"/>
    <x v="0"/>
  </r>
  <r>
    <x v="13"/>
    <x v="13"/>
    <x v="3"/>
    <x v="4"/>
    <x v="4"/>
    <x v="9"/>
    <x v="3"/>
    <x v="9"/>
    <x v="14"/>
    <x v="14"/>
    <x v="0"/>
  </r>
  <r>
    <x v="14"/>
    <x v="14"/>
    <x v="4"/>
    <x v="1"/>
    <x v="1"/>
    <x v="0"/>
    <x v="0"/>
    <x v="0"/>
    <x v="4"/>
    <x v="15"/>
    <x v="0"/>
  </r>
  <r>
    <x v="14"/>
    <x v="14"/>
    <x v="4"/>
    <x v="1"/>
    <x v="1"/>
    <x v="0"/>
    <x v="0"/>
    <x v="0"/>
    <x v="15"/>
    <x v="16"/>
    <x v="0"/>
  </r>
  <r>
    <x v="15"/>
    <x v="15"/>
    <x v="1"/>
    <x v="1"/>
    <x v="1"/>
    <x v="0"/>
    <x v="0"/>
    <x v="0"/>
    <x v="16"/>
    <x v="17"/>
    <x v="0"/>
  </r>
  <r>
    <x v="16"/>
    <x v="16"/>
    <x v="2"/>
    <x v="3"/>
    <x v="3"/>
    <x v="10"/>
    <x v="2"/>
    <x v="10"/>
    <x v="17"/>
    <x v="18"/>
    <x v="2"/>
  </r>
  <r>
    <x v="17"/>
    <x v="17"/>
    <x v="3"/>
    <x v="3"/>
    <x v="3"/>
    <x v="11"/>
    <x v="2"/>
    <x v="11"/>
    <x v="18"/>
    <x v="19"/>
    <x v="0"/>
  </r>
  <r>
    <x v="18"/>
    <x v="18"/>
    <x v="4"/>
    <x v="1"/>
    <x v="1"/>
    <x v="0"/>
    <x v="0"/>
    <x v="0"/>
    <x v="19"/>
    <x v="20"/>
    <x v="0"/>
  </r>
  <r>
    <x v="19"/>
    <x v="19"/>
    <x v="1"/>
    <x v="1"/>
    <x v="1"/>
    <x v="0"/>
    <x v="0"/>
    <x v="0"/>
    <x v="20"/>
    <x v="21"/>
    <x v="0"/>
  </r>
  <r>
    <x v="20"/>
    <x v="20"/>
    <x v="4"/>
    <x v="1"/>
    <x v="1"/>
    <x v="0"/>
    <x v="0"/>
    <x v="0"/>
    <x v="21"/>
    <x v="0"/>
    <x v="0"/>
  </r>
  <r>
    <x v="21"/>
    <x v="21"/>
    <x v="1"/>
    <x v="1"/>
    <x v="1"/>
    <x v="0"/>
    <x v="0"/>
    <x v="0"/>
    <x v="22"/>
    <x v="22"/>
    <x v="0"/>
  </r>
  <r>
    <x v="21"/>
    <x v="21"/>
    <x v="2"/>
    <x v="4"/>
    <x v="4"/>
    <x v="12"/>
    <x v="4"/>
    <x v="12"/>
    <x v="23"/>
    <x v="23"/>
    <x v="4"/>
  </r>
  <r>
    <x v="22"/>
    <x v="22"/>
    <x v="5"/>
    <x v="1"/>
    <x v="1"/>
    <x v="0"/>
    <x v="0"/>
    <x v="0"/>
    <x v="24"/>
    <x v="24"/>
    <x v="0"/>
  </r>
  <r>
    <x v="23"/>
    <x v="23"/>
    <x v="4"/>
    <x v="1"/>
    <x v="1"/>
    <x v="0"/>
    <x v="0"/>
    <x v="0"/>
    <x v="15"/>
    <x v="25"/>
    <x v="0"/>
  </r>
  <r>
    <x v="24"/>
    <x v="24"/>
    <x v="3"/>
    <x v="4"/>
    <x v="4"/>
    <x v="13"/>
    <x v="4"/>
    <x v="13"/>
    <x v="25"/>
    <x v="26"/>
    <x v="0"/>
  </r>
  <r>
    <x v="25"/>
    <x v="25"/>
    <x v="2"/>
    <x v="5"/>
    <x v="5"/>
    <x v="14"/>
    <x v="4"/>
    <x v="14"/>
    <x v="26"/>
    <x v="27"/>
    <x v="4"/>
  </r>
  <r>
    <x v="26"/>
    <x v="26"/>
    <x v="3"/>
    <x v="5"/>
    <x v="5"/>
    <x v="15"/>
    <x v="4"/>
    <x v="15"/>
    <x v="27"/>
    <x v="28"/>
    <x v="0"/>
  </r>
  <r>
    <x v="27"/>
    <x v="27"/>
    <x v="2"/>
    <x v="6"/>
    <x v="6"/>
    <x v="16"/>
    <x v="5"/>
    <x v="16"/>
    <x v="28"/>
    <x v="29"/>
    <x v="5"/>
  </r>
  <r>
    <x v="28"/>
    <x v="28"/>
    <x v="5"/>
    <x v="1"/>
    <x v="1"/>
    <x v="0"/>
    <x v="0"/>
    <x v="0"/>
    <x v="29"/>
    <x v="30"/>
    <x v="0"/>
  </r>
  <r>
    <x v="29"/>
    <x v="29"/>
    <x v="6"/>
    <x v="6"/>
    <x v="6"/>
    <x v="0"/>
    <x v="5"/>
    <x v="17"/>
    <x v="30"/>
    <x v="31"/>
    <x v="0"/>
  </r>
  <r>
    <x v="30"/>
    <x v="30"/>
    <x v="4"/>
    <x v="1"/>
    <x v="1"/>
    <x v="0"/>
    <x v="0"/>
    <x v="0"/>
    <x v="15"/>
    <x v="32"/>
    <x v="0"/>
  </r>
  <r>
    <x v="31"/>
    <x v="31"/>
    <x v="5"/>
    <x v="1"/>
    <x v="1"/>
    <x v="0"/>
    <x v="0"/>
    <x v="0"/>
    <x v="31"/>
    <x v="33"/>
    <x v="0"/>
  </r>
  <r>
    <x v="32"/>
    <x v="32"/>
    <x v="5"/>
    <x v="1"/>
    <x v="1"/>
    <x v="0"/>
    <x v="0"/>
    <x v="0"/>
    <x v="32"/>
    <x v="34"/>
    <x v="0"/>
  </r>
  <r>
    <x v="33"/>
    <x v="33"/>
    <x v="5"/>
    <x v="1"/>
    <x v="1"/>
    <x v="0"/>
    <x v="0"/>
    <x v="0"/>
    <x v="32"/>
    <x v="35"/>
    <x v="0"/>
  </r>
  <r>
    <x v="34"/>
    <x v="34"/>
    <x v="1"/>
    <x v="1"/>
    <x v="1"/>
    <x v="0"/>
    <x v="0"/>
    <x v="0"/>
    <x v="33"/>
    <x v="36"/>
    <x v="0"/>
  </r>
  <r>
    <x v="34"/>
    <x v="34"/>
    <x v="4"/>
    <x v="1"/>
    <x v="1"/>
    <x v="0"/>
    <x v="0"/>
    <x v="0"/>
    <x v="34"/>
    <x v="35"/>
    <x v="0"/>
  </r>
  <r>
    <x v="35"/>
    <x v="35"/>
    <x v="1"/>
    <x v="1"/>
    <x v="1"/>
    <x v="0"/>
    <x v="0"/>
    <x v="0"/>
    <x v="35"/>
    <x v="37"/>
    <x v="0"/>
  </r>
  <r>
    <x v="36"/>
    <x v="36"/>
    <x v="4"/>
    <x v="1"/>
    <x v="1"/>
    <x v="0"/>
    <x v="0"/>
    <x v="0"/>
    <x v="36"/>
    <x v="35"/>
    <x v="0"/>
  </r>
  <r>
    <x v="37"/>
    <x v="37"/>
    <x v="5"/>
    <x v="1"/>
    <x v="1"/>
    <x v="0"/>
    <x v="0"/>
    <x v="0"/>
    <x v="37"/>
    <x v="38"/>
    <x v="0"/>
  </r>
  <r>
    <x v="38"/>
    <x v="38"/>
    <x v="3"/>
    <x v="6"/>
    <x v="6"/>
    <x v="17"/>
    <x v="5"/>
    <x v="18"/>
    <x v="38"/>
    <x v="39"/>
    <x v="0"/>
  </r>
  <r>
    <x v="39"/>
    <x v="39"/>
    <x v="4"/>
    <x v="1"/>
    <x v="1"/>
    <x v="0"/>
    <x v="0"/>
    <x v="0"/>
    <x v="39"/>
    <x v="40"/>
    <x v="0"/>
  </r>
  <r>
    <x v="40"/>
    <x v="40"/>
    <x v="1"/>
    <x v="1"/>
    <x v="1"/>
    <x v="0"/>
    <x v="0"/>
    <x v="0"/>
    <x v="40"/>
    <x v="41"/>
    <x v="0"/>
  </r>
  <r>
    <x v="41"/>
    <x v="41"/>
    <x v="5"/>
    <x v="1"/>
    <x v="1"/>
    <x v="0"/>
    <x v="0"/>
    <x v="0"/>
    <x v="41"/>
    <x v="42"/>
    <x v="0"/>
  </r>
  <r>
    <x v="42"/>
    <x v="42"/>
    <x v="4"/>
    <x v="1"/>
    <x v="1"/>
    <x v="0"/>
    <x v="0"/>
    <x v="0"/>
    <x v="42"/>
    <x v="43"/>
    <x v="0"/>
  </r>
  <r>
    <x v="43"/>
    <x v="43"/>
    <x v="2"/>
    <x v="4"/>
    <x v="4"/>
    <x v="18"/>
    <x v="3"/>
    <x v="19"/>
    <x v="43"/>
    <x v="44"/>
    <x v="3"/>
  </r>
  <r>
    <x v="44"/>
    <x v="44"/>
    <x v="4"/>
    <x v="1"/>
    <x v="1"/>
    <x v="0"/>
    <x v="0"/>
    <x v="0"/>
    <x v="44"/>
    <x v="45"/>
    <x v="0"/>
  </r>
  <r>
    <x v="45"/>
    <x v="45"/>
    <x v="7"/>
    <x v="7"/>
    <x v="7"/>
    <x v="19"/>
    <x v="6"/>
    <x v="20"/>
    <x v="45"/>
    <x v="46"/>
    <x v="0"/>
  </r>
  <r>
    <x v="46"/>
    <x v="46"/>
    <x v="7"/>
    <x v="7"/>
    <x v="7"/>
    <x v="20"/>
    <x v="6"/>
    <x v="20"/>
    <x v="45"/>
    <x v="47"/>
    <x v="0"/>
  </r>
  <r>
    <x v="47"/>
    <x v="45"/>
    <x v="8"/>
    <x v="7"/>
    <x v="7"/>
    <x v="19"/>
    <x v="6"/>
    <x v="21"/>
    <x v="46"/>
    <x v="48"/>
    <x v="0"/>
  </r>
  <r>
    <x v="48"/>
    <x v="46"/>
    <x v="8"/>
    <x v="7"/>
    <x v="7"/>
    <x v="20"/>
    <x v="6"/>
    <x v="22"/>
    <x v="47"/>
    <x v="49"/>
    <x v="0"/>
  </r>
  <r>
    <x v="49"/>
    <x v="47"/>
    <x v="1"/>
    <x v="1"/>
    <x v="1"/>
    <x v="0"/>
    <x v="0"/>
    <x v="0"/>
    <x v="40"/>
    <x v="50"/>
    <x v="0"/>
  </r>
  <r>
    <x v="49"/>
    <x v="47"/>
    <x v="7"/>
    <x v="8"/>
    <x v="8"/>
    <x v="21"/>
    <x v="7"/>
    <x v="23"/>
    <x v="48"/>
    <x v="51"/>
    <x v="0"/>
  </r>
  <r>
    <x v="50"/>
    <x v="48"/>
    <x v="7"/>
    <x v="8"/>
    <x v="8"/>
    <x v="22"/>
    <x v="6"/>
    <x v="20"/>
    <x v="45"/>
    <x v="52"/>
    <x v="0"/>
  </r>
  <r>
    <x v="51"/>
    <x v="49"/>
    <x v="1"/>
    <x v="1"/>
    <x v="1"/>
    <x v="0"/>
    <x v="0"/>
    <x v="0"/>
    <x v="40"/>
    <x v="53"/>
    <x v="0"/>
  </r>
  <r>
    <x v="51"/>
    <x v="49"/>
    <x v="7"/>
    <x v="7"/>
    <x v="7"/>
    <x v="23"/>
    <x v="7"/>
    <x v="23"/>
    <x v="49"/>
    <x v="54"/>
    <x v="0"/>
  </r>
  <r>
    <x v="52"/>
    <x v="50"/>
    <x v="1"/>
    <x v="1"/>
    <x v="1"/>
    <x v="0"/>
    <x v="0"/>
    <x v="0"/>
    <x v="50"/>
    <x v="55"/>
    <x v="0"/>
  </r>
  <r>
    <x v="52"/>
    <x v="50"/>
    <x v="2"/>
    <x v="9"/>
    <x v="9"/>
    <x v="24"/>
    <x v="4"/>
    <x v="24"/>
    <x v="51"/>
    <x v="56"/>
    <x v="4"/>
  </r>
  <r>
    <x v="53"/>
    <x v="51"/>
    <x v="1"/>
    <x v="1"/>
    <x v="1"/>
    <x v="0"/>
    <x v="0"/>
    <x v="0"/>
    <x v="35"/>
    <x v="57"/>
    <x v="0"/>
  </r>
  <r>
    <x v="53"/>
    <x v="51"/>
    <x v="3"/>
    <x v="9"/>
    <x v="9"/>
    <x v="25"/>
    <x v="4"/>
    <x v="25"/>
    <x v="52"/>
    <x v="58"/>
    <x v="0"/>
  </r>
  <r>
    <x v="53"/>
    <x v="51"/>
    <x v="2"/>
    <x v="10"/>
    <x v="10"/>
    <x v="26"/>
    <x v="5"/>
    <x v="26"/>
    <x v="53"/>
    <x v="59"/>
    <x v="5"/>
  </r>
  <r>
    <x v="53"/>
    <x v="51"/>
    <x v="2"/>
    <x v="10"/>
    <x v="10"/>
    <x v="27"/>
    <x v="4"/>
    <x v="27"/>
    <x v="54"/>
    <x v="60"/>
    <x v="6"/>
  </r>
  <r>
    <x v="54"/>
    <x v="47"/>
    <x v="8"/>
    <x v="8"/>
    <x v="8"/>
    <x v="21"/>
    <x v="7"/>
    <x v="28"/>
    <x v="55"/>
    <x v="61"/>
    <x v="0"/>
  </r>
  <r>
    <x v="54"/>
    <x v="49"/>
    <x v="8"/>
    <x v="7"/>
    <x v="7"/>
    <x v="23"/>
    <x v="7"/>
    <x v="29"/>
    <x v="56"/>
    <x v="62"/>
    <x v="0"/>
  </r>
  <r>
    <x v="55"/>
    <x v="48"/>
    <x v="8"/>
    <x v="8"/>
    <x v="8"/>
    <x v="22"/>
    <x v="6"/>
    <x v="30"/>
    <x v="57"/>
    <x v="63"/>
    <x v="0"/>
  </r>
  <r>
    <x v="55"/>
    <x v="52"/>
    <x v="2"/>
    <x v="4"/>
    <x v="4"/>
    <x v="28"/>
    <x v="8"/>
    <x v="31"/>
    <x v="58"/>
    <x v="64"/>
    <x v="6"/>
  </r>
  <r>
    <x v="56"/>
    <x v="53"/>
    <x v="3"/>
    <x v="10"/>
    <x v="10"/>
    <x v="29"/>
    <x v="3"/>
    <x v="32"/>
    <x v="59"/>
    <x v="65"/>
    <x v="7"/>
  </r>
  <r>
    <x v="57"/>
    <x v="54"/>
    <x v="3"/>
    <x v="4"/>
    <x v="4"/>
    <x v="30"/>
    <x v="9"/>
    <x v="33"/>
    <x v="60"/>
    <x v="66"/>
    <x v="0"/>
  </r>
  <r>
    <x v="57"/>
    <x v="54"/>
    <x v="7"/>
    <x v="7"/>
    <x v="7"/>
    <x v="31"/>
    <x v="10"/>
    <x v="34"/>
    <x v="61"/>
    <x v="67"/>
    <x v="0"/>
  </r>
  <r>
    <x v="58"/>
    <x v="55"/>
    <x v="4"/>
    <x v="1"/>
    <x v="1"/>
    <x v="0"/>
    <x v="0"/>
    <x v="0"/>
    <x v="39"/>
    <x v="68"/>
    <x v="0"/>
  </r>
  <r>
    <x v="59"/>
    <x v="56"/>
    <x v="4"/>
    <x v="1"/>
    <x v="1"/>
    <x v="0"/>
    <x v="0"/>
    <x v="0"/>
    <x v="62"/>
    <x v="69"/>
    <x v="0"/>
  </r>
  <r>
    <x v="59"/>
    <x v="56"/>
    <x v="5"/>
    <x v="1"/>
    <x v="1"/>
    <x v="0"/>
    <x v="0"/>
    <x v="0"/>
    <x v="63"/>
    <x v="70"/>
    <x v="0"/>
  </r>
  <r>
    <x v="59"/>
    <x v="54"/>
    <x v="8"/>
    <x v="7"/>
    <x v="7"/>
    <x v="31"/>
    <x v="10"/>
    <x v="35"/>
    <x v="64"/>
    <x v="71"/>
    <x v="0"/>
  </r>
  <r>
    <x v="60"/>
    <x v="57"/>
    <x v="1"/>
    <x v="1"/>
    <x v="1"/>
    <x v="0"/>
    <x v="0"/>
    <x v="0"/>
    <x v="65"/>
    <x v="72"/>
    <x v="0"/>
  </r>
  <r>
    <x v="60"/>
    <x v="57"/>
    <x v="7"/>
    <x v="8"/>
    <x v="8"/>
    <x v="32"/>
    <x v="11"/>
    <x v="36"/>
    <x v="66"/>
    <x v="73"/>
    <x v="0"/>
  </r>
  <r>
    <x v="60"/>
    <x v="57"/>
    <x v="7"/>
    <x v="11"/>
    <x v="11"/>
    <x v="33"/>
    <x v="12"/>
    <x v="37"/>
    <x v="67"/>
    <x v="74"/>
    <x v="0"/>
  </r>
  <r>
    <x v="60"/>
    <x v="57"/>
    <x v="7"/>
    <x v="8"/>
    <x v="8"/>
    <x v="34"/>
    <x v="11"/>
    <x v="36"/>
    <x v="66"/>
    <x v="75"/>
    <x v="0"/>
  </r>
  <r>
    <x v="60"/>
    <x v="57"/>
    <x v="7"/>
    <x v="8"/>
    <x v="8"/>
    <x v="35"/>
    <x v="11"/>
    <x v="36"/>
    <x v="66"/>
    <x v="76"/>
    <x v="0"/>
  </r>
  <r>
    <x v="61"/>
    <x v="58"/>
    <x v="2"/>
    <x v="10"/>
    <x v="10"/>
    <x v="36"/>
    <x v="13"/>
    <x v="38"/>
    <x v="68"/>
    <x v="77"/>
    <x v="8"/>
  </r>
  <r>
    <x v="62"/>
    <x v="59"/>
    <x v="2"/>
    <x v="10"/>
    <x v="10"/>
    <x v="37"/>
    <x v="1"/>
    <x v="39"/>
    <x v="69"/>
    <x v="78"/>
    <x v="9"/>
  </r>
  <r>
    <x v="63"/>
    <x v="60"/>
    <x v="2"/>
    <x v="10"/>
    <x v="10"/>
    <x v="38"/>
    <x v="11"/>
    <x v="40"/>
    <x v="70"/>
    <x v="79"/>
    <x v="10"/>
  </r>
  <r>
    <x v="64"/>
    <x v="57"/>
    <x v="8"/>
    <x v="8"/>
    <x v="8"/>
    <x v="32"/>
    <x v="11"/>
    <x v="41"/>
    <x v="71"/>
    <x v="80"/>
    <x v="0"/>
  </r>
  <r>
    <x v="64"/>
    <x v="57"/>
    <x v="8"/>
    <x v="8"/>
    <x v="8"/>
    <x v="34"/>
    <x v="11"/>
    <x v="42"/>
    <x v="72"/>
    <x v="81"/>
    <x v="0"/>
  </r>
  <r>
    <x v="64"/>
    <x v="57"/>
    <x v="8"/>
    <x v="8"/>
    <x v="8"/>
    <x v="35"/>
    <x v="11"/>
    <x v="43"/>
    <x v="73"/>
    <x v="82"/>
    <x v="0"/>
  </r>
  <r>
    <x v="64"/>
    <x v="61"/>
    <x v="7"/>
    <x v="8"/>
    <x v="8"/>
    <x v="39"/>
    <x v="11"/>
    <x v="36"/>
    <x v="66"/>
    <x v="83"/>
    <x v="0"/>
  </r>
  <r>
    <x v="64"/>
    <x v="61"/>
    <x v="7"/>
    <x v="7"/>
    <x v="7"/>
    <x v="40"/>
    <x v="12"/>
    <x v="37"/>
    <x v="74"/>
    <x v="84"/>
    <x v="0"/>
  </r>
  <r>
    <x v="65"/>
    <x v="62"/>
    <x v="7"/>
    <x v="7"/>
    <x v="7"/>
    <x v="41"/>
    <x v="12"/>
    <x v="37"/>
    <x v="74"/>
    <x v="85"/>
    <x v="0"/>
  </r>
  <r>
    <x v="65"/>
    <x v="62"/>
    <x v="7"/>
    <x v="8"/>
    <x v="8"/>
    <x v="42"/>
    <x v="14"/>
    <x v="44"/>
    <x v="75"/>
    <x v="86"/>
    <x v="0"/>
  </r>
  <r>
    <x v="65"/>
    <x v="62"/>
    <x v="7"/>
    <x v="7"/>
    <x v="7"/>
    <x v="43"/>
    <x v="15"/>
    <x v="45"/>
    <x v="76"/>
    <x v="87"/>
    <x v="0"/>
  </r>
  <r>
    <x v="66"/>
    <x v="61"/>
    <x v="8"/>
    <x v="7"/>
    <x v="7"/>
    <x v="40"/>
    <x v="12"/>
    <x v="46"/>
    <x v="77"/>
    <x v="88"/>
    <x v="0"/>
  </r>
  <r>
    <x v="66"/>
    <x v="63"/>
    <x v="2"/>
    <x v="12"/>
    <x v="12"/>
    <x v="44"/>
    <x v="1"/>
    <x v="47"/>
    <x v="78"/>
    <x v="89"/>
    <x v="1"/>
  </r>
  <r>
    <x v="67"/>
    <x v="62"/>
    <x v="8"/>
    <x v="7"/>
    <x v="7"/>
    <x v="41"/>
    <x v="12"/>
    <x v="48"/>
    <x v="79"/>
    <x v="90"/>
    <x v="0"/>
  </r>
  <r>
    <x v="67"/>
    <x v="62"/>
    <x v="8"/>
    <x v="7"/>
    <x v="7"/>
    <x v="43"/>
    <x v="15"/>
    <x v="49"/>
    <x v="80"/>
    <x v="91"/>
    <x v="0"/>
  </r>
  <r>
    <x v="67"/>
    <x v="64"/>
    <x v="2"/>
    <x v="4"/>
    <x v="4"/>
    <x v="45"/>
    <x v="4"/>
    <x v="50"/>
    <x v="81"/>
    <x v="92"/>
    <x v="4"/>
  </r>
  <r>
    <x v="67"/>
    <x v="64"/>
    <x v="2"/>
    <x v="12"/>
    <x v="12"/>
    <x v="46"/>
    <x v="2"/>
    <x v="51"/>
    <x v="82"/>
    <x v="93"/>
    <x v="5"/>
  </r>
  <r>
    <x v="68"/>
    <x v="57"/>
    <x v="8"/>
    <x v="11"/>
    <x v="11"/>
    <x v="33"/>
    <x v="12"/>
    <x v="52"/>
    <x v="83"/>
    <x v="94"/>
    <x v="0"/>
  </r>
  <r>
    <x v="69"/>
    <x v="61"/>
    <x v="8"/>
    <x v="8"/>
    <x v="8"/>
    <x v="39"/>
    <x v="11"/>
    <x v="53"/>
    <x v="84"/>
    <x v="95"/>
    <x v="0"/>
  </r>
  <r>
    <x v="70"/>
    <x v="62"/>
    <x v="8"/>
    <x v="8"/>
    <x v="8"/>
    <x v="42"/>
    <x v="14"/>
    <x v="54"/>
    <x v="85"/>
    <x v="96"/>
    <x v="0"/>
  </r>
  <r>
    <x v="70"/>
    <x v="65"/>
    <x v="2"/>
    <x v="12"/>
    <x v="12"/>
    <x v="47"/>
    <x v="1"/>
    <x v="55"/>
    <x v="86"/>
    <x v="97"/>
    <x v="11"/>
  </r>
  <r>
    <x v="71"/>
    <x v="66"/>
    <x v="4"/>
    <x v="1"/>
    <x v="1"/>
    <x v="0"/>
    <x v="0"/>
    <x v="0"/>
    <x v="87"/>
    <x v="98"/>
    <x v="0"/>
  </r>
  <r>
    <x v="72"/>
    <x v="67"/>
    <x v="2"/>
    <x v="12"/>
    <x v="12"/>
    <x v="48"/>
    <x v="1"/>
    <x v="56"/>
    <x v="88"/>
    <x v="99"/>
    <x v="6"/>
  </r>
  <r>
    <x v="73"/>
    <x v="68"/>
    <x v="2"/>
    <x v="10"/>
    <x v="10"/>
    <x v="49"/>
    <x v="3"/>
    <x v="57"/>
    <x v="89"/>
    <x v="100"/>
    <x v="12"/>
  </r>
  <r>
    <x v="73"/>
    <x v="68"/>
    <x v="2"/>
    <x v="10"/>
    <x v="10"/>
    <x v="50"/>
    <x v="13"/>
    <x v="58"/>
    <x v="90"/>
    <x v="101"/>
    <x v="13"/>
  </r>
  <r>
    <x v="73"/>
    <x v="68"/>
    <x v="3"/>
    <x v="10"/>
    <x v="10"/>
    <x v="51"/>
    <x v="3"/>
    <x v="59"/>
    <x v="91"/>
    <x v="102"/>
    <x v="14"/>
  </r>
  <r>
    <x v="73"/>
    <x v="68"/>
    <x v="3"/>
    <x v="10"/>
    <x v="10"/>
    <x v="13"/>
    <x v="1"/>
    <x v="60"/>
    <x v="92"/>
    <x v="103"/>
    <x v="15"/>
  </r>
  <r>
    <x v="74"/>
    <x v="69"/>
    <x v="3"/>
    <x v="10"/>
    <x v="10"/>
    <x v="52"/>
    <x v="16"/>
    <x v="61"/>
    <x v="93"/>
    <x v="104"/>
    <x v="12"/>
  </r>
  <r>
    <x v="74"/>
    <x v="69"/>
    <x v="3"/>
    <x v="10"/>
    <x v="10"/>
    <x v="53"/>
    <x v="3"/>
    <x v="62"/>
    <x v="94"/>
    <x v="105"/>
    <x v="10"/>
  </r>
  <r>
    <x v="75"/>
    <x v="70"/>
    <x v="2"/>
    <x v="10"/>
    <x v="10"/>
    <x v="54"/>
    <x v="4"/>
    <x v="63"/>
    <x v="95"/>
    <x v="106"/>
    <x v="16"/>
  </r>
  <r>
    <x v="75"/>
    <x v="70"/>
    <x v="2"/>
    <x v="10"/>
    <x v="10"/>
    <x v="55"/>
    <x v="3"/>
    <x v="64"/>
    <x v="96"/>
    <x v="107"/>
    <x v="17"/>
  </r>
  <r>
    <x v="75"/>
    <x v="70"/>
    <x v="3"/>
    <x v="10"/>
    <x v="10"/>
    <x v="56"/>
    <x v="3"/>
    <x v="65"/>
    <x v="97"/>
    <x v="108"/>
    <x v="16"/>
  </r>
  <r>
    <x v="75"/>
    <x v="70"/>
    <x v="3"/>
    <x v="10"/>
    <x v="10"/>
    <x v="57"/>
    <x v="4"/>
    <x v="66"/>
    <x v="98"/>
    <x v="109"/>
    <x v="10"/>
  </r>
  <r>
    <x v="75"/>
    <x v="70"/>
    <x v="2"/>
    <x v="10"/>
    <x v="10"/>
    <x v="58"/>
    <x v="4"/>
    <x v="67"/>
    <x v="99"/>
    <x v="110"/>
    <x v="16"/>
  </r>
  <r>
    <x v="75"/>
    <x v="70"/>
    <x v="3"/>
    <x v="10"/>
    <x v="10"/>
    <x v="59"/>
    <x v="4"/>
    <x v="68"/>
    <x v="100"/>
    <x v="111"/>
    <x v="10"/>
  </r>
  <r>
    <x v="76"/>
    <x v="71"/>
    <x v="2"/>
    <x v="10"/>
    <x v="10"/>
    <x v="60"/>
    <x v="4"/>
    <x v="69"/>
    <x v="101"/>
    <x v="112"/>
    <x v="16"/>
  </r>
  <r>
    <x v="77"/>
    <x v="72"/>
    <x v="3"/>
    <x v="10"/>
    <x v="10"/>
    <x v="61"/>
    <x v="4"/>
    <x v="47"/>
    <x v="102"/>
    <x v="113"/>
    <x v="10"/>
  </r>
  <r>
    <x v="77"/>
    <x v="72"/>
    <x v="2"/>
    <x v="10"/>
    <x v="10"/>
    <x v="62"/>
    <x v="13"/>
    <x v="70"/>
    <x v="103"/>
    <x v="114"/>
    <x v="14"/>
  </r>
  <r>
    <x v="77"/>
    <x v="72"/>
    <x v="3"/>
    <x v="10"/>
    <x v="10"/>
    <x v="63"/>
    <x v="2"/>
    <x v="71"/>
    <x v="104"/>
    <x v="115"/>
    <x v="16"/>
  </r>
  <r>
    <x v="77"/>
    <x v="72"/>
    <x v="3"/>
    <x v="10"/>
    <x v="10"/>
    <x v="61"/>
    <x v="4"/>
    <x v="47"/>
    <x v="102"/>
    <x v="116"/>
    <x v="10"/>
  </r>
  <r>
    <x v="78"/>
    <x v="73"/>
    <x v="2"/>
    <x v="10"/>
    <x v="10"/>
    <x v="64"/>
    <x v="4"/>
    <x v="72"/>
    <x v="105"/>
    <x v="117"/>
    <x v="16"/>
  </r>
  <r>
    <x v="79"/>
    <x v="74"/>
    <x v="3"/>
    <x v="12"/>
    <x v="12"/>
    <x v="65"/>
    <x v="1"/>
    <x v="73"/>
    <x v="106"/>
    <x v="118"/>
    <x v="11"/>
  </r>
  <r>
    <x v="79"/>
    <x v="74"/>
    <x v="3"/>
    <x v="10"/>
    <x v="10"/>
    <x v="66"/>
    <x v="4"/>
    <x v="74"/>
    <x v="107"/>
    <x v="119"/>
    <x v="10"/>
  </r>
  <r>
    <x v="80"/>
    <x v="75"/>
    <x v="2"/>
    <x v="12"/>
    <x v="12"/>
    <x v="67"/>
    <x v="3"/>
    <x v="75"/>
    <x v="108"/>
    <x v="120"/>
    <x v="18"/>
  </r>
  <r>
    <x v="81"/>
    <x v="76"/>
    <x v="3"/>
    <x v="12"/>
    <x v="12"/>
    <x v="68"/>
    <x v="3"/>
    <x v="76"/>
    <x v="109"/>
    <x v="121"/>
    <x v="11"/>
  </r>
  <r>
    <x v="82"/>
    <x v="77"/>
    <x v="2"/>
    <x v="12"/>
    <x v="12"/>
    <x v="69"/>
    <x v="3"/>
    <x v="77"/>
    <x v="110"/>
    <x v="122"/>
    <x v="18"/>
  </r>
  <r>
    <x v="82"/>
    <x v="77"/>
    <x v="3"/>
    <x v="12"/>
    <x v="12"/>
    <x v="70"/>
    <x v="3"/>
    <x v="78"/>
    <x v="111"/>
    <x v="123"/>
    <x v="11"/>
  </r>
  <r>
    <x v="83"/>
    <x v="78"/>
    <x v="2"/>
    <x v="12"/>
    <x v="12"/>
    <x v="71"/>
    <x v="3"/>
    <x v="79"/>
    <x v="112"/>
    <x v="124"/>
    <x v="18"/>
  </r>
  <r>
    <x v="83"/>
    <x v="78"/>
    <x v="3"/>
    <x v="12"/>
    <x v="12"/>
    <x v="72"/>
    <x v="3"/>
    <x v="80"/>
    <x v="113"/>
    <x v="125"/>
    <x v="11"/>
  </r>
  <r>
    <x v="84"/>
    <x v="79"/>
    <x v="2"/>
    <x v="10"/>
    <x v="10"/>
    <x v="73"/>
    <x v="13"/>
    <x v="81"/>
    <x v="114"/>
    <x v="126"/>
    <x v="14"/>
  </r>
  <r>
    <x v="84"/>
    <x v="79"/>
    <x v="3"/>
    <x v="4"/>
    <x v="4"/>
    <x v="74"/>
    <x v="4"/>
    <x v="82"/>
    <x v="115"/>
    <x v="127"/>
    <x v="0"/>
  </r>
  <r>
    <x v="85"/>
    <x v="80"/>
    <x v="3"/>
    <x v="10"/>
    <x v="10"/>
    <x v="75"/>
    <x v="13"/>
    <x v="83"/>
    <x v="116"/>
    <x v="128"/>
    <x v="10"/>
  </r>
  <r>
    <x v="86"/>
    <x v="81"/>
    <x v="2"/>
    <x v="12"/>
    <x v="12"/>
    <x v="76"/>
    <x v="3"/>
    <x v="84"/>
    <x v="117"/>
    <x v="129"/>
    <x v="18"/>
  </r>
  <r>
    <x v="86"/>
    <x v="81"/>
    <x v="2"/>
    <x v="12"/>
    <x v="12"/>
    <x v="77"/>
    <x v="3"/>
    <x v="85"/>
    <x v="118"/>
    <x v="130"/>
    <x v="19"/>
  </r>
  <r>
    <x v="86"/>
    <x v="81"/>
    <x v="2"/>
    <x v="10"/>
    <x v="10"/>
    <x v="78"/>
    <x v="8"/>
    <x v="86"/>
    <x v="119"/>
    <x v="131"/>
    <x v="20"/>
  </r>
  <r>
    <x v="87"/>
    <x v="82"/>
    <x v="5"/>
    <x v="1"/>
    <x v="1"/>
    <x v="0"/>
    <x v="0"/>
    <x v="0"/>
    <x v="120"/>
    <x v="132"/>
    <x v="0"/>
  </r>
  <r>
    <x v="88"/>
    <x v="83"/>
    <x v="1"/>
    <x v="1"/>
    <x v="1"/>
    <x v="0"/>
    <x v="0"/>
    <x v="0"/>
    <x v="121"/>
    <x v="133"/>
    <x v="0"/>
  </r>
  <r>
    <x v="88"/>
    <x v="83"/>
    <x v="2"/>
    <x v="13"/>
    <x v="13"/>
    <x v="79"/>
    <x v="17"/>
    <x v="87"/>
    <x v="122"/>
    <x v="134"/>
    <x v="18"/>
  </r>
  <r>
    <x v="89"/>
    <x v="84"/>
    <x v="3"/>
    <x v="10"/>
    <x v="10"/>
    <x v="80"/>
    <x v="3"/>
    <x v="88"/>
    <x v="123"/>
    <x v="135"/>
    <x v="21"/>
  </r>
  <r>
    <x v="89"/>
    <x v="84"/>
    <x v="3"/>
    <x v="10"/>
    <x v="10"/>
    <x v="81"/>
    <x v="3"/>
    <x v="89"/>
    <x v="124"/>
    <x v="136"/>
    <x v="19"/>
  </r>
  <r>
    <x v="90"/>
    <x v="85"/>
    <x v="5"/>
    <x v="1"/>
    <x v="1"/>
    <x v="0"/>
    <x v="0"/>
    <x v="0"/>
    <x v="125"/>
    <x v="137"/>
    <x v="0"/>
  </r>
  <r>
    <x v="91"/>
    <x v="86"/>
    <x v="2"/>
    <x v="10"/>
    <x v="10"/>
    <x v="82"/>
    <x v="18"/>
    <x v="90"/>
    <x v="126"/>
    <x v="138"/>
    <x v="22"/>
  </r>
  <r>
    <x v="92"/>
    <x v="87"/>
    <x v="3"/>
    <x v="10"/>
    <x v="10"/>
    <x v="83"/>
    <x v="18"/>
    <x v="91"/>
    <x v="127"/>
    <x v="139"/>
    <x v="19"/>
  </r>
  <r>
    <x v="92"/>
    <x v="87"/>
    <x v="2"/>
    <x v="12"/>
    <x v="12"/>
    <x v="84"/>
    <x v="3"/>
    <x v="92"/>
    <x v="128"/>
    <x v="140"/>
    <x v="21"/>
  </r>
  <r>
    <x v="93"/>
    <x v="88"/>
    <x v="1"/>
    <x v="1"/>
    <x v="1"/>
    <x v="0"/>
    <x v="0"/>
    <x v="0"/>
    <x v="129"/>
    <x v="141"/>
    <x v="0"/>
  </r>
  <r>
    <x v="93"/>
    <x v="88"/>
    <x v="1"/>
    <x v="1"/>
    <x v="1"/>
    <x v="0"/>
    <x v="0"/>
    <x v="0"/>
    <x v="1"/>
    <x v="142"/>
    <x v="0"/>
  </r>
  <r>
    <x v="93"/>
    <x v="88"/>
    <x v="1"/>
    <x v="1"/>
    <x v="1"/>
    <x v="0"/>
    <x v="0"/>
    <x v="0"/>
    <x v="130"/>
    <x v="143"/>
    <x v="0"/>
  </r>
  <r>
    <x v="93"/>
    <x v="88"/>
    <x v="6"/>
    <x v="12"/>
    <x v="12"/>
    <x v="0"/>
    <x v="19"/>
    <x v="93"/>
    <x v="131"/>
    <x v="144"/>
    <x v="0"/>
  </r>
  <r>
    <x v="93"/>
    <x v="88"/>
    <x v="2"/>
    <x v="14"/>
    <x v="14"/>
    <x v="85"/>
    <x v="11"/>
    <x v="94"/>
    <x v="132"/>
    <x v="145"/>
    <x v="23"/>
  </r>
  <r>
    <x v="93"/>
    <x v="88"/>
    <x v="2"/>
    <x v="6"/>
    <x v="6"/>
    <x v="55"/>
    <x v="5"/>
    <x v="95"/>
    <x v="133"/>
    <x v="146"/>
    <x v="5"/>
  </r>
  <r>
    <x v="94"/>
    <x v="89"/>
    <x v="6"/>
    <x v="6"/>
    <x v="6"/>
    <x v="0"/>
    <x v="5"/>
    <x v="96"/>
    <x v="134"/>
    <x v="147"/>
    <x v="0"/>
  </r>
  <r>
    <x v="95"/>
    <x v="90"/>
    <x v="1"/>
    <x v="1"/>
    <x v="1"/>
    <x v="0"/>
    <x v="0"/>
    <x v="0"/>
    <x v="135"/>
    <x v="148"/>
    <x v="0"/>
  </r>
  <r>
    <x v="95"/>
    <x v="90"/>
    <x v="2"/>
    <x v="14"/>
    <x v="14"/>
    <x v="86"/>
    <x v="20"/>
    <x v="97"/>
    <x v="136"/>
    <x v="149"/>
    <x v="24"/>
  </r>
  <r>
    <x v="96"/>
    <x v="91"/>
    <x v="6"/>
    <x v="10"/>
    <x v="10"/>
    <x v="0"/>
    <x v="0"/>
    <x v="98"/>
    <x v="137"/>
    <x v="150"/>
    <x v="0"/>
  </r>
  <r>
    <x v="96"/>
    <x v="91"/>
    <x v="6"/>
    <x v="13"/>
    <x v="13"/>
    <x v="0"/>
    <x v="17"/>
    <x v="99"/>
    <x v="138"/>
    <x v="151"/>
    <x v="0"/>
  </r>
  <r>
    <x v="97"/>
    <x v="92"/>
    <x v="5"/>
    <x v="1"/>
    <x v="1"/>
    <x v="0"/>
    <x v="0"/>
    <x v="0"/>
    <x v="139"/>
    <x v="152"/>
    <x v="0"/>
  </r>
  <r>
    <x v="98"/>
    <x v="93"/>
    <x v="4"/>
    <x v="1"/>
    <x v="1"/>
    <x v="0"/>
    <x v="0"/>
    <x v="0"/>
    <x v="15"/>
    <x v="153"/>
    <x v="0"/>
  </r>
  <r>
    <x v="99"/>
    <x v="94"/>
    <x v="3"/>
    <x v="14"/>
    <x v="14"/>
    <x v="87"/>
    <x v="20"/>
    <x v="100"/>
    <x v="140"/>
    <x v="154"/>
    <x v="23"/>
  </r>
  <r>
    <x v="99"/>
    <x v="94"/>
    <x v="2"/>
    <x v="12"/>
    <x v="12"/>
    <x v="88"/>
    <x v="3"/>
    <x v="101"/>
    <x v="141"/>
    <x v="155"/>
    <x v="20"/>
  </r>
  <r>
    <x v="100"/>
    <x v="95"/>
    <x v="2"/>
    <x v="14"/>
    <x v="14"/>
    <x v="89"/>
    <x v="7"/>
    <x v="102"/>
    <x v="142"/>
    <x v="156"/>
    <x v="25"/>
  </r>
  <r>
    <x v="101"/>
    <x v="96"/>
    <x v="3"/>
    <x v="6"/>
    <x v="6"/>
    <x v="14"/>
    <x v="5"/>
    <x v="103"/>
    <x v="143"/>
    <x v="157"/>
    <x v="0"/>
  </r>
  <r>
    <x v="101"/>
    <x v="96"/>
    <x v="3"/>
    <x v="12"/>
    <x v="12"/>
    <x v="90"/>
    <x v="13"/>
    <x v="104"/>
    <x v="144"/>
    <x v="158"/>
    <x v="19"/>
  </r>
  <r>
    <x v="101"/>
    <x v="96"/>
    <x v="3"/>
    <x v="10"/>
    <x v="10"/>
    <x v="91"/>
    <x v="13"/>
    <x v="105"/>
    <x v="145"/>
    <x v="159"/>
    <x v="11"/>
  </r>
  <r>
    <x v="101"/>
    <x v="96"/>
    <x v="3"/>
    <x v="13"/>
    <x v="13"/>
    <x v="92"/>
    <x v="17"/>
    <x v="106"/>
    <x v="146"/>
    <x v="160"/>
    <x v="0"/>
  </r>
  <r>
    <x v="101"/>
    <x v="96"/>
    <x v="3"/>
    <x v="14"/>
    <x v="14"/>
    <x v="93"/>
    <x v="21"/>
    <x v="107"/>
    <x v="147"/>
    <x v="161"/>
    <x v="0"/>
  </r>
  <r>
    <x v="101"/>
    <x v="96"/>
    <x v="2"/>
    <x v="15"/>
    <x v="15"/>
    <x v="94"/>
    <x v="22"/>
    <x v="108"/>
    <x v="148"/>
    <x v="162"/>
    <x v="26"/>
  </r>
  <r>
    <x v="101"/>
    <x v="96"/>
    <x v="2"/>
    <x v="15"/>
    <x v="15"/>
    <x v="95"/>
    <x v="1"/>
    <x v="109"/>
    <x v="149"/>
    <x v="163"/>
    <x v="10"/>
  </r>
  <r>
    <x v="101"/>
    <x v="96"/>
    <x v="3"/>
    <x v="10"/>
    <x v="10"/>
    <x v="91"/>
    <x v="23"/>
    <x v="110"/>
    <x v="150"/>
    <x v="164"/>
    <x v="23"/>
  </r>
  <r>
    <x v="101"/>
    <x v="96"/>
    <x v="3"/>
    <x v="12"/>
    <x v="12"/>
    <x v="96"/>
    <x v="22"/>
    <x v="111"/>
    <x v="151"/>
    <x v="165"/>
    <x v="23"/>
  </r>
  <r>
    <x v="101"/>
    <x v="96"/>
    <x v="2"/>
    <x v="15"/>
    <x v="15"/>
    <x v="97"/>
    <x v="24"/>
    <x v="112"/>
    <x v="152"/>
    <x v="166"/>
    <x v="27"/>
  </r>
  <r>
    <x v="101"/>
    <x v="96"/>
    <x v="2"/>
    <x v="12"/>
    <x v="12"/>
    <x v="96"/>
    <x v="11"/>
    <x v="113"/>
    <x v="153"/>
    <x v="167"/>
    <x v="28"/>
  </r>
  <r>
    <x v="102"/>
    <x v="97"/>
    <x v="9"/>
    <x v="10"/>
    <x v="10"/>
    <x v="0"/>
    <x v="0"/>
    <x v="0"/>
    <x v="154"/>
    <x v="168"/>
    <x v="0"/>
  </r>
  <r>
    <x v="102"/>
    <x v="97"/>
    <x v="9"/>
    <x v="6"/>
    <x v="6"/>
    <x v="0"/>
    <x v="0"/>
    <x v="0"/>
    <x v="155"/>
    <x v="169"/>
    <x v="0"/>
  </r>
  <r>
    <x v="102"/>
    <x v="97"/>
    <x v="9"/>
    <x v="13"/>
    <x v="13"/>
    <x v="0"/>
    <x v="0"/>
    <x v="0"/>
    <x v="156"/>
    <x v="170"/>
    <x v="0"/>
  </r>
  <r>
    <x v="102"/>
    <x v="97"/>
    <x v="9"/>
    <x v="12"/>
    <x v="12"/>
    <x v="0"/>
    <x v="0"/>
    <x v="0"/>
    <x v="157"/>
    <x v="171"/>
    <x v="0"/>
  </r>
  <r>
    <x v="102"/>
    <x v="97"/>
    <x v="9"/>
    <x v="12"/>
    <x v="12"/>
    <x v="0"/>
    <x v="0"/>
    <x v="0"/>
    <x v="158"/>
    <x v="172"/>
    <x v="0"/>
  </r>
  <r>
    <x v="102"/>
    <x v="97"/>
    <x v="9"/>
    <x v="12"/>
    <x v="12"/>
    <x v="0"/>
    <x v="0"/>
    <x v="0"/>
    <x v="159"/>
    <x v="173"/>
    <x v="0"/>
  </r>
  <r>
    <x v="102"/>
    <x v="97"/>
    <x v="9"/>
    <x v="12"/>
    <x v="12"/>
    <x v="0"/>
    <x v="0"/>
    <x v="0"/>
    <x v="160"/>
    <x v="174"/>
    <x v="0"/>
  </r>
  <r>
    <x v="102"/>
    <x v="97"/>
    <x v="9"/>
    <x v="12"/>
    <x v="12"/>
    <x v="0"/>
    <x v="0"/>
    <x v="0"/>
    <x v="159"/>
    <x v="175"/>
    <x v="0"/>
  </r>
  <r>
    <x v="103"/>
    <x v="98"/>
    <x v="3"/>
    <x v="15"/>
    <x v="15"/>
    <x v="98"/>
    <x v="8"/>
    <x v="114"/>
    <x v="161"/>
    <x v="176"/>
    <x v="20"/>
  </r>
  <r>
    <x v="103"/>
    <x v="98"/>
    <x v="2"/>
    <x v="12"/>
    <x v="12"/>
    <x v="6"/>
    <x v="18"/>
    <x v="115"/>
    <x v="162"/>
    <x v="177"/>
    <x v="6"/>
  </r>
  <r>
    <x v="103"/>
    <x v="98"/>
    <x v="3"/>
    <x v="15"/>
    <x v="15"/>
    <x v="99"/>
    <x v="13"/>
    <x v="116"/>
    <x v="163"/>
    <x v="178"/>
    <x v="19"/>
  </r>
  <r>
    <x v="103"/>
    <x v="98"/>
    <x v="3"/>
    <x v="15"/>
    <x v="15"/>
    <x v="100"/>
    <x v="13"/>
    <x v="117"/>
    <x v="164"/>
    <x v="179"/>
    <x v="11"/>
  </r>
  <r>
    <x v="103"/>
    <x v="98"/>
    <x v="2"/>
    <x v="12"/>
    <x v="12"/>
    <x v="101"/>
    <x v="25"/>
    <x v="118"/>
    <x v="165"/>
    <x v="180"/>
    <x v="20"/>
  </r>
  <r>
    <x v="103"/>
    <x v="98"/>
    <x v="3"/>
    <x v="15"/>
    <x v="15"/>
    <x v="102"/>
    <x v="13"/>
    <x v="119"/>
    <x v="166"/>
    <x v="181"/>
    <x v="0"/>
  </r>
  <r>
    <x v="103"/>
    <x v="98"/>
    <x v="2"/>
    <x v="10"/>
    <x v="10"/>
    <x v="103"/>
    <x v="26"/>
    <x v="120"/>
    <x v="167"/>
    <x v="182"/>
    <x v="9"/>
  </r>
  <r>
    <x v="103"/>
    <x v="98"/>
    <x v="3"/>
    <x v="10"/>
    <x v="10"/>
    <x v="104"/>
    <x v="11"/>
    <x v="121"/>
    <x v="168"/>
    <x v="183"/>
    <x v="19"/>
  </r>
  <r>
    <x v="103"/>
    <x v="98"/>
    <x v="2"/>
    <x v="16"/>
    <x v="16"/>
    <x v="105"/>
    <x v="16"/>
    <x v="122"/>
    <x v="169"/>
    <x v="184"/>
    <x v="28"/>
  </r>
  <r>
    <x v="103"/>
    <x v="98"/>
    <x v="2"/>
    <x v="14"/>
    <x v="14"/>
    <x v="106"/>
    <x v="27"/>
    <x v="123"/>
    <x v="170"/>
    <x v="185"/>
    <x v="29"/>
  </r>
  <r>
    <x v="104"/>
    <x v="99"/>
    <x v="3"/>
    <x v="16"/>
    <x v="16"/>
    <x v="107"/>
    <x v="16"/>
    <x v="124"/>
    <x v="171"/>
    <x v="186"/>
    <x v="0"/>
  </r>
  <r>
    <x v="104"/>
    <x v="99"/>
    <x v="2"/>
    <x v="12"/>
    <x v="12"/>
    <x v="108"/>
    <x v="3"/>
    <x v="125"/>
    <x v="172"/>
    <x v="187"/>
    <x v="30"/>
  </r>
  <r>
    <x v="104"/>
    <x v="99"/>
    <x v="2"/>
    <x v="17"/>
    <x v="17"/>
    <x v="109"/>
    <x v="3"/>
    <x v="126"/>
    <x v="173"/>
    <x v="188"/>
    <x v="3"/>
  </r>
  <r>
    <x v="104"/>
    <x v="99"/>
    <x v="2"/>
    <x v="18"/>
    <x v="18"/>
    <x v="110"/>
    <x v="4"/>
    <x v="127"/>
    <x v="174"/>
    <x v="189"/>
    <x v="4"/>
  </r>
  <r>
    <x v="105"/>
    <x v="100"/>
    <x v="3"/>
    <x v="18"/>
    <x v="18"/>
    <x v="111"/>
    <x v="4"/>
    <x v="128"/>
    <x v="175"/>
    <x v="190"/>
    <x v="0"/>
  </r>
  <r>
    <x v="105"/>
    <x v="100"/>
    <x v="2"/>
    <x v="12"/>
    <x v="12"/>
    <x v="112"/>
    <x v="3"/>
    <x v="129"/>
    <x v="176"/>
    <x v="191"/>
    <x v="31"/>
  </r>
  <r>
    <x v="105"/>
    <x v="100"/>
    <x v="3"/>
    <x v="17"/>
    <x v="17"/>
    <x v="113"/>
    <x v="3"/>
    <x v="130"/>
    <x v="177"/>
    <x v="192"/>
    <x v="0"/>
  </r>
  <r>
    <x v="105"/>
    <x v="100"/>
    <x v="3"/>
    <x v="12"/>
    <x v="12"/>
    <x v="114"/>
    <x v="3"/>
    <x v="131"/>
    <x v="178"/>
    <x v="193"/>
    <x v="30"/>
  </r>
  <r>
    <x v="105"/>
    <x v="99"/>
    <x v="10"/>
    <x v="16"/>
    <x v="16"/>
    <x v="0"/>
    <x v="0"/>
    <x v="132"/>
    <x v="179"/>
    <x v="194"/>
    <x v="0"/>
  </r>
  <r>
    <x v="106"/>
    <x v="101"/>
    <x v="2"/>
    <x v="12"/>
    <x v="12"/>
    <x v="115"/>
    <x v="3"/>
    <x v="133"/>
    <x v="180"/>
    <x v="195"/>
    <x v="31"/>
  </r>
  <r>
    <x v="107"/>
    <x v="102"/>
    <x v="2"/>
    <x v="19"/>
    <x v="19"/>
    <x v="116"/>
    <x v="28"/>
    <x v="134"/>
    <x v="181"/>
    <x v="196"/>
    <x v="32"/>
  </r>
  <r>
    <x v="108"/>
    <x v="103"/>
    <x v="3"/>
    <x v="14"/>
    <x v="14"/>
    <x v="117"/>
    <x v="27"/>
    <x v="135"/>
    <x v="182"/>
    <x v="197"/>
    <x v="0"/>
  </r>
  <r>
    <x v="108"/>
    <x v="103"/>
    <x v="2"/>
    <x v="19"/>
    <x v="19"/>
    <x v="118"/>
    <x v="29"/>
    <x v="136"/>
    <x v="183"/>
    <x v="198"/>
    <x v="33"/>
  </r>
  <r>
    <x v="109"/>
    <x v="104"/>
    <x v="1"/>
    <x v="1"/>
    <x v="1"/>
    <x v="0"/>
    <x v="0"/>
    <x v="0"/>
    <x v="65"/>
    <x v="199"/>
    <x v="0"/>
  </r>
  <r>
    <x v="109"/>
    <x v="104"/>
    <x v="2"/>
    <x v="16"/>
    <x v="16"/>
    <x v="119"/>
    <x v="2"/>
    <x v="137"/>
    <x v="184"/>
    <x v="200"/>
    <x v="2"/>
  </r>
  <r>
    <x v="110"/>
    <x v="104"/>
    <x v="11"/>
    <x v="20"/>
    <x v="20"/>
    <x v="0"/>
    <x v="2"/>
    <x v="0"/>
    <x v="0"/>
    <x v="200"/>
    <x v="0"/>
  </r>
  <r>
    <x v="110"/>
    <x v="104"/>
    <x v="10"/>
    <x v="16"/>
    <x v="16"/>
    <x v="0"/>
    <x v="0"/>
    <x v="138"/>
    <x v="185"/>
    <x v="201"/>
    <x v="0"/>
  </r>
  <r>
    <x v="111"/>
    <x v="105"/>
    <x v="2"/>
    <x v="21"/>
    <x v="21"/>
    <x v="120"/>
    <x v="3"/>
    <x v="139"/>
    <x v="186"/>
    <x v="202"/>
    <x v="3"/>
  </r>
  <r>
    <x v="111"/>
    <x v="105"/>
    <x v="2"/>
    <x v="22"/>
    <x v="22"/>
    <x v="121"/>
    <x v="30"/>
    <x v="140"/>
    <x v="187"/>
    <x v="203"/>
    <x v="34"/>
  </r>
  <r>
    <x v="111"/>
    <x v="105"/>
    <x v="2"/>
    <x v="21"/>
    <x v="21"/>
    <x v="122"/>
    <x v="17"/>
    <x v="141"/>
    <x v="188"/>
    <x v="204"/>
    <x v="19"/>
  </r>
  <r>
    <x v="112"/>
    <x v="106"/>
    <x v="3"/>
    <x v="22"/>
    <x v="22"/>
    <x v="123"/>
    <x v="30"/>
    <x v="142"/>
    <x v="189"/>
    <x v="205"/>
    <x v="0"/>
  </r>
  <r>
    <x v="112"/>
    <x v="106"/>
    <x v="3"/>
    <x v="12"/>
    <x v="12"/>
    <x v="124"/>
    <x v="3"/>
    <x v="143"/>
    <x v="190"/>
    <x v="206"/>
    <x v="30"/>
  </r>
  <r>
    <x v="112"/>
    <x v="106"/>
    <x v="2"/>
    <x v="22"/>
    <x v="22"/>
    <x v="125"/>
    <x v="31"/>
    <x v="144"/>
    <x v="191"/>
    <x v="207"/>
    <x v="35"/>
  </r>
  <r>
    <x v="112"/>
    <x v="106"/>
    <x v="2"/>
    <x v="19"/>
    <x v="19"/>
    <x v="126"/>
    <x v="31"/>
    <x v="145"/>
    <x v="192"/>
    <x v="208"/>
    <x v="36"/>
  </r>
  <r>
    <x v="113"/>
    <x v="107"/>
    <x v="3"/>
    <x v="22"/>
    <x v="22"/>
    <x v="127"/>
    <x v="19"/>
    <x v="146"/>
    <x v="193"/>
    <x v="209"/>
    <x v="37"/>
  </r>
  <r>
    <x v="113"/>
    <x v="107"/>
    <x v="3"/>
    <x v="22"/>
    <x v="22"/>
    <x v="128"/>
    <x v="30"/>
    <x v="80"/>
    <x v="194"/>
    <x v="210"/>
    <x v="21"/>
  </r>
  <r>
    <x v="113"/>
    <x v="107"/>
    <x v="2"/>
    <x v="22"/>
    <x v="22"/>
    <x v="129"/>
    <x v="19"/>
    <x v="147"/>
    <x v="195"/>
    <x v="211"/>
    <x v="34"/>
  </r>
  <r>
    <x v="113"/>
    <x v="107"/>
    <x v="2"/>
    <x v="12"/>
    <x v="12"/>
    <x v="130"/>
    <x v="13"/>
    <x v="148"/>
    <x v="196"/>
    <x v="212"/>
    <x v="38"/>
  </r>
  <r>
    <x v="114"/>
    <x v="108"/>
    <x v="3"/>
    <x v="22"/>
    <x v="22"/>
    <x v="131"/>
    <x v="19"/>
    <x v="149"/>
    <x v="197"/>
    <x v="213"/>
    <x v="21"/>
  </r>
  <r>
    <x v="115"/>
    <x v="109"/>
    <x v="3"/>
    <x v="12"/>
    <x v="12"/>
    <x v="132"/>
    <x v="17"/>
    <x v="150"/>
    <x v="198"/>
    <x v="214"/>
    <x v="20"/>
  </r>
  <r>
    <x v="115"/>
    <x v="109"/>
    <x v="2"/>
    <x v="12"/>
    <x v="12"/>
    <x v="133"/>
    <x v="17"/>
    <x v="151"/>
    <x v="199"/>
    <x v="215"/>
    <x v="38"/>
  </r>
  <r>
    <x v="115"/>
    <x v="109"/>
    <x v="3"/>
    <x v="22"/>
    <x v="22"/>
    <x v="127"/>
    <x v="19"/>
    <x v="146"/>
    <x v="193"/>
    <x v="216"/>
    <x v="0"/>
  </r>
  <r>
    <x v="115"/>
    <x v="109"/>
    <x v="2"/>
    <x v="22"/>
    <x v="22"/>
    <x v="134"/>
    <x v="19"/>
    <x v="152"/>
    <x v="200"/>
    <x v="217"/>
    <x v="21"/>
  </r>
  <r>
    <x v="116"/>
    <x v="110"/>
    <x v="4"/>
    <x v="1"/>
    <x v="1"/>
    <x v="0"/>
    <x v="0"/>
    <x v="0"/>
    <x v="201"/>
    <x v="218"/>
    <x v="0"/>
  </r>
  <r>
    <x v="116"/>
    <x v="110"/>
    <x v="2"/>
    <x v="22"/>
    <x v="22"/>
    <x v="135"/>
    <x v="19"/>
    <x v="153"/>
    <x v="202"/>
    <x v="219"/>
    <x v="34"/>
  </r>
  <r>
    <x v="116"/>
    <x v="110"/>
    <x v="2"/>
    <x v="22"/>
    <x v="22"/>
    <x v="136"/>
    <x v="19"/>
    <x v="154"/>
    <x v="203"/>
    <x v="220"/>
    <x v="37"/>
  </r>
  <r>
    <x v="116"/>
    <x v="110"/>
    <x v="3"/>
    <x v="21"/>
    <x v="21"/>
    <x v="137"/>
    <x v="26"/>
    <x v="155"/>
    <x v="204"/>
    <x v="221"/>
    <x v="0"/>
  </r>
  <r>
    <x v="116"/>
    <x v="110"/>
    <x v="2"/>
    <x v="16"/>
    <x v="16"/>
    <x v="138"/>
    <x v="11"/>
    <x v="156"/>
    <x v="205"/>
    <x v="222"/>
    <x v="23"/>
  </r>
  <r>
    <x v="117"/>
    <x v="110"/>
    <x v="11"/>
    <x v="20"/>
    <x v="20"/>
    <x v="0"/>
    <x v="11"/>
    <x v="0"/>
    <x v="0"/>
    <x v="222"/>
    <x v="0"/>
  </r>
  <r>
    <x v="117"/>
    <x v="111"/>
    <x v="3"/>
    <x v="22"/>
    <x v="22"/>
    <x v="139"/>
    <x v="32"/>
    <x v="157"/>
    <x v="206"/>
    <x v="223"/>
    <x v="0"/>
  </r>
  <r>
    <x v="117"/>
    <x v="110"/>
    <x v="10"/>
    <x v="16"/>
    <x v="16"/>
    <x v="0"/>
    <x v="0"/>
    <x v="158"/>
    <x v="207"/>
    <x v="224"/>
    <x v="0"/>
  </r>
  <r>
    <x v="118"/>
    <x v="112"/>
    <x v="2"/>
    <x v="16"/>
    <x v="16"/>
    <x v="140"/>
    <x v="11"/>
    <x v="159"/>
    <x v="208"/>
    <x v="225"/>
    <x v="23"/>
  </r>
  <r>
    <x v="118"/>
    <x v="112"/>
    <x v="2"/>
    <x v="16"/>
    <x v="16"/>
    <x v="141"/>
    <x v="11"/>
    <x v="160"/>
    <x v="209"/>
    <x v="226"/>
    <x v="28"/>
  </r>
  <r>
    <x v="119"/>
    <x v="112"/>
    <x v="11"/>
    <x v="20"/>
    <x v="20"/>
    <x v="0"/>
    <x v="11"/>
    <x v="0"/>
    <x v="0"/>
    <x v="226"/>
    <x v="0"/>
  </r>
  <r>
    <x v="119"/>
    <x v="112"/>
    <x v="11"/>
    <x v="20"/>
    <x v="20"/>
    <x v="0"/>
    <x v="11"/>
    <x v="0"/>
    <x v="0"/>
    <x v="226"/>
    <x v="0"/>
  </r>
  <r>
    <x v="119"/>
    <x v="112"/>
    <x v="10"/>
    <x v="16"/>
    <x v="16"/>
    <x v="0"/>
    <x v="0"/>
    <x v="161"/>
    <x v="210"/>
    <x v="227"/>
    <x v="0"/>
  </r>
  <r>
    <x v="120"/>
    <x v="113"/>
    <x v="2"/>
    <x v="16"/>
    <x v="16"/>
    <x v="142"/>
    <x v="16"/>
    <x v="162"/>
    <x v="211"/>
    <x v="228"/>
    <x v="28"/>
  </r>
  <r>
    <x v="121"/>
    <x v="114"/>
    <x v="3"/>
    <x v="16"/>
    <x v="16"/>
    <x v="143"/>
    <x v="16"/>
    <x v="163"/>
    <x v="212"/>
    <x v="229"/>
    <x v="0"/>
  </r>
  <r>
    <x v="121"/>
    <x v="114"/>
    <x v="2"/>
    <x v="17"/>
    <x v="17"/>
    <x v="144"/>
    <x v="3"/>
    <x v="164"/>
    <x v="213"/>
    <x v="230"/>
    <x v="3"/>
  </r>
  <r>
    <x v="122"/>
    <x v="114"/>
    <x v="10"/>
    <x v="16"/>
    <x v="16"/>
    <x v="0"/>
    <x v="0"/>
    <x v="165"/>
    <x v="214"/>
    <x v="231"/>
    <x v="0"/>
  </r>
  <r>
    <x v="122"/>
    <x v="115"/>
    <x v="3"/>
    <x v="10"/>
    <x v="10"/>
    <x v="43"/>
    <x v="3"/>
    <x v="166"/>
    <x v="215"/>
    <x v="232"/>
    <x v="18"/>
  </r>
  <r>
    <x v="122"/>
    <x v="115"/>
    <x v="3"/>
    <x v="10"/>
    <x v="10"/>
    <x v="145"/>
    <x v="3"/>
    <x v="167"/>
    <x v="216"/>
    <x v="233"/>
    <x v="11"/>
  </r>
  <r>
    <x v="122"/>
    <x v="115"/>
    <x v="2"/>
    <x v="10"/>
    <x v="10"/>
    <x v="146"/>
    <x v="3"/>
    <x v="168"/>
    <x v="217"/>
    <x v="234"/>
    <x v="18"/>
  </r>
  <r>
    <x v="122"/>
    <x v="115"/>
    <x v="2"/>
    <x v="17"/>
    <x v="17"/>
    <x v="147"/>
    <x v="33"/>
    <x v="169"/>
    <x v="218"/>
    <x v="235"/>
    <x v="39"/>
  </r>
  <r>
    <x v="123"/>
    <x v="97"/>
    <x v="9"/>
    <x v="10"/>
    <x v="10"/>
    <x v="0"/>
    <x v="0"/>
    <x v="0"/>
    <x v="219"/>
    <x v="236"/>
    <x v="0"/>
  </r>
  <r>
    <x v="123"/>
    <x v="116"/>
    <x v="2"/>
    <x v="22"/>
    <x v="22"/>
    <x v="148"/>
    <x v="2"/>
    <x v="170"/>
    <x v="220"/>
    <x v="237"/>
    <x v="2"/>
  </r>
  <r>
    <x v="124"/>
    <x v="117"/>
    <x v="3"/>
    <x v="17"/>
    <x v="17"/>
    <x v="149"/>
    <x v="3"/>
    <x v="171"/>
    <x v="221"/>
    <x v="238"/>
    <x v="8"/>
  </r>
  <r>
    <x v="124"/>
    <x v="117"/>
    <x v="2"/>
    <x v="22"/>
    <x v="22"/>
    <x v="150"/>
    <x v="34"/>
    <x v="172"/>
    <x v="222"/>
    <x v="239"/>
    <x v="22"/>
  </r>
  <r>
    <x v="125"/>
    <x v="118"/>
    <x v="3"/>
    <x v="22"/>
    <x v="22"/>
    <x v="151"/>
    <x v="35"/>
    <x v="173"/>
    <x v="223"/>
    <x v="240"/>
    <x v="0"/>
  </r>
  <r>
    <x v="126"/>
    <x v="119"/>
    <x v="3"/>
    <x v="17"/>
    <x v="17"/>
    <x v="4"/>
    <x v="13"/>
    <x v="174"/>
    <x v="224"/>
    <x v="241"/>
    <x v="7"/>
  </r>
  <r>
    <x v="126"/>
    <x v="119"/>
    <x v="2"/>
    <x v="22"/>
    <x v="22"/>
    <x v="152"/>
    <x v="19"/>
    <x v="175"/>
    <x v="225"/>
    <x v="242"/>
    <x v="21"/>
  </r>
  <r>
    <x v="127"/>
    <x v="120"/>
    <x v="2"/>
    <x v="22"/>
    <x v="22"/>
    <x v="153"/>
    <x v="19"/>
    <x v="176"/>
    <x v="226"/>
    <x v="243"/>
    <x v="34"/>
  </r>
  <r>
    <x v="127"/>
    <x v="120"/>
    <x v="3"/>
    <x v="22"/>
    <x v="22"/>
    <x v="154"/>
    <x v="19"/>
    <x v="177"/>
    <x v="227"/>
    <x v="244"/>
    <x v="21"/>
  </r>
  <r>
    <x v="127"/>
    <x v="120"/>
    <x v="3"/>
    <x v="12"/>
    <x v="12"/>
    <x v="155"/>
    <x v="13"/>
    <x v="178"/>
    <x v="228"/>
    <x v="245"/>
    <x v="30"/>
  </r>
  <r>
    <x v="127"/>
    <x v="120"/>
    <x v="2"/>
    <x v="22"/>
    <x v="22"/>
    <x v="156"/>
    <x v="19"/>
    <x v="179"/>
    <x v="229"/>
    <x v="246"/>
    <x v="34"/>
  </r>
  <r>
    <x v="128"/>
    <x v="121"/>
    <x v="3"/>
    <x v="22"/>
    <x v="22"/>
    <x v="157"/>
    <x v="19"/>
    <x v="180"/>
    <x v="230"/>
    <x v="247"/>
    <x v="21"/>
  </r>
  <r>
    <x v="129"/>
    <x v="122"/>
    <x v="5"/>
    <x v="1"/>
    <x v="1"/>
    <x v="0"/>
    <x v="0"/>
    <x v="0"/>
    <x v="231"/>
    <x v="248"/>
    <x v="0"/>
  </r>
  <r>
    <x v="129"/>
    <x v="122"/>
    <x v="2"/>
    <x v="22"/>
    <x v="22"/>
    <x v="158"/>
    <x v="19"/>
    <x v="181"/>
    <x v="232"/>
    <x v="249"/>
    <x v="34"/>
  </r>
  <r>
    <x v="129"/>
    <x v="122"/>
    <x v="2"/>
    <x v="12"/>
    <x v="12"/>
    <x v="159"/>
    <x v="36"/>
    <x v="182"/>
    <x v="233"/>
    <x v="250"/>
    <x v="40"/>
  </r>
  <r>
    <x v="130"/>
    <x v="123"/>
    <x v="3"/>
    <x v="22"/>
    <x v="22"/>
    <x v="160"/>
    <x v="19"/>
    <x v="183"/>
    <x v="234"/>
    <x v="251"/>
    <x v="21"/>
  </r>
  <r>
    <x v="131"/>
    <x v="124"/>
    <x v="2"/>
    <x v="22"/>
    <x v="22"/>
    <x v="161"/>
    <x v="19"/>
    <x v="184"/>
    <x v="235"/>
    <x v="252"/>
    <x v="34"/>
  </r>
  <r>
    <x v="131"/>
    <x v="124"/>
    <x v="3"/>
    <x v="22"/>
    <x v="22"/>
    <x v="162"/>
    <x v="19"/>
    <x v="185"/>
    <x v="236"/>
    <x v="253"/>
    <x v="21"/>
  </r>
  <r>
    <x v="132"/>
    <x v="125"/>
    <x v="12"/>
    <x v="17"/>
    <x v="17"/>
    <x v="0"/>
    <x v="8"/>
    <x v="0"/>
    <x v="0"/>
    <x v="253"/>
    <x v="0"/>
  </r>
  <r>
    <x v="132"/>
    <x v="125"/>
    <x v="12"/>
    <x v="12"/>
    <x v="12"/>
    <x v="0"/>
    <x v="26"/>
    <x v="0"/>
    <x v="0"/>
    <x v="253"/>
    <x v="15"/>
  </r>
  <r>
    <x v="132"/>
    <x v="125"/>
    <x v="12"/>
    <x v="12"/>
    <x v="12"/>
    <x v="0"/>
    <x v="22"/>
    <x v="0"/>
    <x v="0"/>
    <x v="253"/>
    <x v="11"/>
  </r>
  <r>
    <x v="132"/>
    <x v="125"/>
    <x v="12"/>
    <x v="19"/>
    <x v="19"/>
    <x v="0"/>
    <x v="37"/>
    <x v="0"/>
    <x v="0"/>
    <x v="253"/>
    <x v="0"/>
  </r>
  <r>
    <x v="132"/>
    <x v="125"/>
    <x v="12"/>
    <x v="10"/>
    <x v="10"/>
    <x v="0"/>
    <x v="17"/>
    <x v="0"/>
    <x v="0"/>
    <x v="253"/>
    <x v="0"/>
  </r>
  <r>
    <x v="132"/>
    <x v="125"/>
    <x v="3"/>
    <x v="22"/>
    <x v="22"/>
    <x v="163"/>
    <x v="19"/>
    <x v="186"/>
    <x v="237"/>
    <x v="254"/>
    <x v="0"/>
  </r>
  <r>
    <x v="132"/>
    <x v="125"/>
    <x v="2"/>
    <x v="16"/>
    <x v="16"/>
    <x v="164"/>
    <x v="11"/>
    <x v="187"/>
    <x v="238"/>
    <x v="255"/>
    <x v="23"/>
  </r>
  <r>
    <x v="133"/>
    <x v="125"/>
    <x v="11"/>
    <x v="20"/>
    <x v="20"/>
    <x v="0"/>
    <x v="11"/>
    <x v="0"/>
    <x v="0"/>
    <x v="255"/>
    <x v="0"/>
  </r>
  <r>
    <x v="133"/>
    <x v="125"/>
    <x v="10"/>
    <x v="16"/>
    <x v="16"/>
    <x v="0"/>
    <x v="0"/>
    <x v="188"/>
    <x v="239"/>
    <x v="256"/>
    <x v="0"/>
  </r>
  <r>
    <x v="134"/>
    <x v="126"/>
    <x v="4"/>
    <x v="1"/>
    <x v="1"/>
    <x v="0"/>
    <x v="0"/>
    <x v="0"/>
    <x v="240"/>
    <x v="0"/>
    <x v="0"/>
  </r>
  <r>
    <x v="134"/>
    <x v="126"/>
    <x v="12"/>
    <x v="12"/>
    <x v="12"/>
    <x v="0"/>
    <x v="13"/>
    <x v="0"/>
    <x v="0"/>
    <x v="0"/>
    <x v="0"/>
  </r>
  <r>
    <x v="135"/>
    <x v="127"/>
    <x v="13"/>
    <x v="23"/>
    <x v="23"/>
    <x v="0"/>
    <x v="38"/>
    <x v="0"/>
    <x v="0"/>
    <x v="0"/>
    <x v="41"/>
  </r>
  <r>
    <x v="136"/>
    <x v="128"/>
    <x v="14"/>
    <x v="23"/>
    <x v="23"/>
    <x v="0"/>
    <x v="38"/>
    <x v="0"/>
    <x v="0"/>
    <x v="0"/>
    <x v="0"/>
  </r>
  <r>
    <x v="136"/>
    <x v="128"/>
    <x v="15"/>
    <x v="19"/>
    <x v="19"/>
    <x v="0"/>
    <x v="39"/>
    <x v="0"/>
    <x v="0"/>
    <x v="0"/>
    <x v="42"/>
  </r>
  <r>
    <x v="136"/>
    <x v="128"/>
    <x v="15"/>
    <x v="22"/>
    <x v="22"/>
    <x v="0"/>
    <x v="39"/>
    <x v="0"/>
    <x v="0"/>
    <x v="0"/>
    <x v="42"/>
  </r>
  <r>
    <x v="137"/>
    <x v="129"/>
    <x v="12"/>
    <x v="19"/>
    <x v="19"/>
    <x v="0"/>
    <x v="39"/>
    <x v="0"/>
    <x v="0"/>
    <x v="0"/>
    <x v="0"/>
  </r>
  <r>
    <x v="137"/>
    <x v="129"/>
    <x v="3"/>
    <x v="22"/>
    <x v="22"/>
    <x v="165"/>
    <x v="39"/>
    <x v="189"/>
    <x v="241"/>
    <x v="257"/>
    <x v="0"/>
  </r>
  <r>
    <x v="138"/>
    <x v="130"/>
    <x v="4"/>
    <x v="1"/>
    <x v="1"/>
    <x v="0"/>
    <x v="0"/>
    <x v="0"/>
    <x v="242"/>
    <x v="0"/>
    <x v="0"/>
  </r>
  <r>
    <x v="139"/>
    <x v="131"/>
    <x v="1"/>
    <x v="1"/>
    <x v="1"/>
    <x v="0"/>
    <x v="0"/>
    <x v="0"/>
    <x v="65"/>
    <x v="258"/>
    <x v="0"/>
  </r>
  <r>
    <x v="139"/>
    <x v="131"/>
    <x v="13"/>
    <x v="19"/>
    <x v="19"/>
    <x v="166"/>
    <x v="40"/>
    <x v="190"/>
    <x v="0"/>
    <x v="258"/>
    <x v="43"/>
  </r>
  <r>
    <x v="139"/>
    <x v="131"/>
    <x v="2"/>
    <x v="16"/>
    <x v="16"/>
    <x v="167"/>
    <x v="16"/>
    <x v="191"/>
    <x v="243"/>
    <x v="259"/>
    <x v="28"/>
  </r>
  <r>
    <x v="139"/>
    <x v="131"/>
    <x v="2"/>
    <x v="16"/>
    <x v="16"/>
    <x v="168"/>
    <x v="16"/>
    <x v="192"/>
    <x v="244"/>
    <x v="260"/>
    <x v="2"/>
  </r>
  <r>
    <x v="140"/>
    <x v="131"/>
    <x v="11"/>
    <x v="20"/>
    <x v="20"/>
    <x v="0"/>
    <x v="2"/>
    <x v="0"/>
    <x v="0"/>
    <x v="260"/>
    <x v="0"/>
  </r>
  <r>
    <x v="140"/>
    <x v="132"/>
    <x v="13"/>
    <x v="16"/>
    <x v="16"/>
    <x v="169"/>
    <x v="1"/>
    <x v="193"/>
    <x v="0"/>
    <x v="260"/>
    <x v="1"/>
  </r>
  <r>
    <x v="140"/>
    <x v="131"/>
    <x v="10"/>
    <x v="16"/>
    <x v="16"/>
    <x v="0"/>
    <x v="0"/>
    <x v="194"/>
    <x v="245"/>
    <x v="261"/>
    <x v="0"/>
  </r>
  <r>
    <x v="141"/>
    <x v="133"/>
    <x v="2"/>
    <x v="16"/>
    <x v="16"/>
    <x v="170"/>
    <x v="2"/>
    <x v="195"/>
    <x v="246"/>
    <x v="262"/>
    <x v="5"/>
  </r>
  <r>
    <x v="142"/>
    <x v="134"/>
    <x v="3"/>
    <x v="16"/>
    <x v="16"/>
    <x v="171"/>
    <x v="16"/>
    <x v="196"/>
    <x v="247"/>
    <x v="263"/>
    <x v="3"/>
  </r>
  <r>
    <x v="143"/>
    <x v="135"/>
    <x v="2"/>
    <x v="12"/>
    <x v="12"/>
    <x v="172"/>
    <x v="3"/>
    <x v="197"/>
    <x v="248"/>
    <x v="264"/>
    <x v="3"/>
  </r>
  <r>
    <x v="143"/>
    <x v="135"/>
    <x v="2"/>
    <x v="19"/>
    <x v="19"/>
    <x v="173"/>
    <x v="41"/>
    <x v="198"/>
    <x v="249"/>
    <x v="265"/>
    <x v="44"/>
  </r>
  <r>
    <x v="143"/>
    <x v="135"/>
    <x v="3"/>
    <x v="16"/>
    <x v="16"/>
    <x v="174"/>
    <x v="3"/>
    <x v="199"/>
    <x v="250"/>
    <x v="266"/>
    <x v="0"/>
  </r>
  <r>
    <x v="143"/>
    <x v="135"/>
    <x v="2"/>
    <x v="19"/>
    <x v="19"/>
    <x v="175"/>
    <x v="42"/>
    <x v="200"/>
    <x v="251"/>
    <x v="267"/>
    <x v="45"/>
  </r>
  <r>
    <x v="144"/>
    <x v="136"/>
    <x v="3"/>
    <x v="12"/>
    <x v="12"/>
    <x v="176"/>
    <x v="3"/>
    <x v="201"/>
    <x v="252"/>
    <x v="268"/>
    <x v="0"/>
  </r>
  <r>
    <x v="144"/>
    <x v="136"/>
    <x v="3"/>
    <x v="19"/>
    <x v="19"/>
    <x v="177"/>
    <x v="43"/>
    <x v="202"/>
    <x v="253"/>
    <x v="269"/>
    <x v="46"/>
  </r>
  <r>
    <x v="144"/>
    <x v="136"/>
    <x v="3"/>
    <x v="19"/>
    <x v="19"/>
    <x v="177"/>
    <x v="44"/>
    <x v="203"/>
    <x v="254"/>
    <x v="270"/>
    <x v="44"/>
  </r>
  <r>
    <x v="144"/>
    <x v="136"/>
    <x v="3"/>
    <x v="19"/>
    <x v="19"/>
    <x v="178"/>
    <x v="41"/>
    <x v="204"/>
    <x v="255"/>
    <x v="271"/>
    <x v="43"/>
  </r>
  <r>
    <x v="144"/>
    <x v="135"/>
    <x v="10"/>
    <x v="16"/>
    <x v="16"/>
    <x v="0"/>
    <x v="0"/>
    <x v="205"/>
    <x v="256"/>
    <x v="272"/>
    <x v="0"/>
  </r>
  <r>
    <x v="145"/>
    <x v="136"/>
    <x v="16"/>
    <x v="23"/>
    <x v="23"/>
    <x v="179"/>
    <x v="45"/>
    <x v="206"/>
    <x v="257"/>
    <x v="273"/>
    <x v="47"/>
  </r>
  <r>
    <x v="146"/>
    <x v="137"/>
    <x v="14"/>
    <x v="23"/>
    <x v="23"/>
    <x v="0"/>
    <x v="46"/>
    <x v="0"/>
    <x v="0"/>
    <x v="273"/>
    <x v="48"/>
  </r>
  <r>
    <x v="146"/>
    <x v="137"/>
    <x v="15"/>
    <x v="19"/>
    <x v="19"/>
    <x v="180"/>
    <x v="47"/>
    <x v="0"/>
    <x v="0"/>
    <x v="273"/>
    <x v="49"/>
  </r>
  <r>
    <x v="146"/>
    <x v="137"/>
    <x v="15"/>
    <x v="22"/>
    <x v="22"/>
    <x v="181"/>
    <x v="47"/>
    <x v="0"/>
    <x v="0"/>
    <x v="273"/>
    <x v="50"/>
  </r>
  <r>
    <x v="146"/>
    <x v="137"/>
    <x v="2"/>
    <x v="19"/>
    <x v="19"/>
    <x v="182"/>
    <x v="48"/>
    <x v="207"/>
    <x v="258"/>
    <x v="274"/>
    <x v="51"/>
  </r>
  <r>
    <x v="147"/>
    <x v="138"/>
    <x v="3"/>
    <x v="22"/>
    <x v="22"/>
    <x v="183"/>
    <x v="47"/>
    <x v="208"/>
    <x v="259"/>
    <x v="275"/>
    <x v="0"/>
  </r>
  <r>
    <x v="147"/>
    <x v="138"/>
    <x v="2"/>
    <x v="19"/>
    <x v="19"/>
    <x v="184"/>
    <x v="49"/>
    <x v="209"/>
    <x v="260"/>
    <x v="276"/>
    <x v="52"/>
  </r>
  <r>
    <x v="148"/>
    <x v="139"/>
    <x v="15"/>
    <x v="23"/>
    <x v="23"/>
    <x v="0"/>
    <x v="50"/>
    <x v="0"/>
    <x v="0"/>
    <x v="276"/>
    <x v="53"/>
  </r>
  <r>
    <x v="148"/>
    <x v="139"/>
    <x v="17"/>
    <x v="23"/>
    <x v="23"/>
    <x v="0"/>
    <x v="51"/>
    <x v="0"/>
    <x v="0"/>
    <x v="276"/>
    <x v="54"/>
  </r>
  <r>
    <x v="148"/>
    <x v="139"/>
    <x v="15"/>
    <x v="23"/>
    <x v="23"/>
    <x v="0"/>
    <x v="51"/>
    <x v="0"/>
    <x v="0"/>
    <x v="276"/>
    <x v="53"/>
  </r>
  <r>
    <x v="149"/>
    <x v="140"/>
    <x v="1"/>
    <x v="1"/>
    <x v="1"/>
    <x v="0"/>
    <x v="0"/>
    <x v="0"/>
    <x v="261"/>
    <x v="277"/>
    <x v="0"/>
  </r>
  <r>
    <x v="149"/>
    <x v="140"/>
    <x v="2"/>
    <x v="16"/>
    <x v="16"/>
    <x v="185"/>
    <x v="16"/>
    <x v="210"/>
    <x v="262"/>
    <x v="278"/>
    <x v="28"/>
  </r>
  <r>
    <x v="150"/>
    <x v="141"/>
    <x v="5"/>
    <x v="1"/>
    <x v="1"/>
    <x v="0"/>
    <x v="0"/>
    <x v="0"/>
    <x v="263"/>
    <x v="279"/>
    <x v="0"/>
  </r>
  <r>
    <x v="151"/>
    <x v="141"/>
    <x v="11"/>
    <x v="20"/>
    <x v="20"/>
    <x v="0"/>
    <x v="16"/>
    <x v="0"/>
    <x v="0"/>
    <x v="279"/>
    <x v="0"/>
  </r>
  <r>
    <x v="151"/>
    <x v="141"/>
    <x v="10"/>
    <x v="16"/>
    <x v="16"/>
    <x v="0"/>
    <x v="0"/>
    <x v="211"/>
    <x v="264"/>
    <x v="280"/>
    <x v="0"/>
  </r>
  <r>
    <x v="152"/>
    <x v="142"/>
    <x v="4"/>
    <x v="1"/>
    <x v="1"/>
    <x v="0"/>
    <x v="0"/>
    <x v="0"/>
    <x v="265"/>
    <x v="281"/>
    <x v="0"/>
  </r>
  <r>
    <x v="153"/>
    <x v="143"/>
    <x v="12"/>
    <x v="19"/>
    <x v="19"/>
    <x v="0"/>
    <x v="52"/>
    <x v="0"/>
    <x v="0"/>
    <x v="281"/>
    <x v="55"/>
  </r>
  <r>
    <x v="153"/>
    <x v="143"/>
    <x v="3"/>
    <x v="19"/>
    <x v="19"/>
    <x v="186"/>
    <x v="49"/>
    <x v="212"/>
    <x v="266"/>
    <x v="282"/>
    <x v="0"/>
  </r>
  <r>
    <x v="153"/>
    <x v="143"/>
    <x v="2"/>
    <x v="24"/>
    <x v="24"/>
    <x v="187"/>
    <x v="13"/>
    <x v="213"/>
    <x v="267"/>
    <x v="283"/>
    <x v="11"/>
  </r>
  <r>
    <x v="153"/>
    <x v="143"/>
    <x v="2"/>
    <x v="16"/>
    <x v="16"/>
    <x v="119"/>
    <x v="16"/>
    <x v="214"/>
    <x v="268"/>
    <x v="284"/>
    <x v="28"/>
  </r>
  <r>
    <x v="154"/>
    <x v="144"/>
    <x v="11"/>
    <x v="20"/>
    <x v="20"/>
    <x v="0"/>
    <x v="16"/>
    <x v="0"/>
    <x v="0"/>
    <x v="284"/>
    <x v="0"/>
  </r>
  <r>
    <x v="154"/>
    <x v="144"/>
    <x v="10"/>
    <x v="16"/>
    <x v="16"/>
    <x v="0"/>
    <x v="0"/>
    <x v="215"/>
    <x v="269"/>
    <x v="285"/>
    <x v="0"/>
  </r>
  <r>
    <x v="155"/>
    <x v="145"/>
    <x v="2"/>
    <x v="16"/>
    <x v="16"/>
    <x v="188"/>
    <x v="16"/>
    <x v="216"/>
    <x v="270"/>
    <x v="286"/>
    <x v="28"/>
  </r>
  <r>
    <x v="156"/>
    <x v="145"/>
    <x v="11"/>
    <x v="20"/>
    <x v="20"/>
    <x v="0"/>
    <x v="16"/>
    <x v="0"/>
    <x v="0"/>
    <x v="286"/>
    <x v="0"/>
  </r>
  <r>
    <x v="156"/>
    <x v="145"/>
    <x v="10"/>
    <x v="16"/>
    <x v="16"/>
    <x v="0"/>
    <x v="0"/>
    <x v="217"/>
    <x v="271"/>
    <x v="287"/>
    <x v="0"/>
  </r>
  <r>
    <x v="157"/>
    <x v="146"/>
    <x v="2"/>
    <x v="25"/>
    <x v="25"/>
    <x v="189"/>
    <x v="3"/>
    <x v="218"/>
    <x v="272"/>
    <x v="288"/>
    <x v="3"/>
  </r>
  <r>
    <x v="158"/>
    <x v="147"/>
    <x v="1"/>
    <x v="1"/>
    <x v="1"/>
    <x v="0"/>
    <x v="0"/>
    <x v="0"/>
    <x v="273"/>
    <x v="289"/>
    <x v="0"/>
  </r>
  <r>
    <x v="158"/>
    <x v="147"/>
    <x v="2"/>
    <x v="16"/>
    <x v="16"/>
    <x v="190"/>
    <x v="16"/>
    <x v="219"/>
    <x v="274"/>
    <x v="290"/>
    <x v="28"/>
  </r>
  <r>
    <x v="159"/>
    <x v="147"/>
    <x v="11"/>
    <x v="20"/>
    <x v="20"/>
    <x v="0"/>
    <x v="16"/>
    <x v="0"/>
    <x v="0"/>
    <x v="290"/>
    <x v="0"/>
  </r>
  <r>
    <x v="159"/>
    <x v="147"/>
    <x v="10"/>
    <x v="16"/>
    <x v="16"/>
    <x v="0"/>
    <x v="0"/>
    <x v="220"/>
    <x v="275"/>
    <x v="291"/>
    <x v="0"/>
  </r>
  <r>
    <x v="160"/>
    <x v="148"/>
    <x v="4"/>
    <x v="1"/>
    <x v="1"/>
    <x v="0"/>
    <x v="0"/>
    <x v="0"/>
    <x v="276"/>
    <x v="292"/>
    <x v="0"/>
  </r>
  <r>
    <x v="161"/>
    <x v="149"/>
    <x v="2"/>
    <x v="12"/>
    <x v="12"/>
    <x v="191"/>
    <x v="3"/>
    <x v="221"/>
    <x v="277"/>
    <x v="293"/>
    <x v="3"/>
  </r>
  <r>
    <x v="162"/>
    <x v="150"/>
    <x v="3"/>
    <x v="12"/>
    <x v="12"/>
    <x v="192"/>
    <x v="3"/>
    <x v="222"/>
    <x v="278"/>
    <x v="294"/>
    <x v="0"/>
  </r>
  <r>
    <x v="162"/>
    <x v="150"/>
    <x v="3"/>
    <x v="25"/>
    <x v="25"/>
    <x v="193"/>
    <x v="3"/>
    <x v="223"/>
    <x v="279"/>
    <x v="295"/>
    <x v="0"/>
  </r>
  <r>
    <x v="162"/>
    <x v="150"/>
    <x v="2"/>
    <x v="12"/>
    <x v="12"/>
    <x v="194"/>
    <x v="3"/>
    <x v="224"/>
    <x v="280"/>
    <x v="296"/>
    <x v="3"/>
  </r>
  <r>
    <x v="163"/>
    <x v="151"/>
    <x v="3"/>
    <x v="12"/>
    <x v="12"/>
    <x v="195"/>
    <x v="3"/>
    <x v="225"/>
    <x v="281"/>
    <x v="297"/>
    <x v="0"/>
  </r>
  <r>
    <x v="164"/>
    <x v="152"/>
    <x v="5"/>
    <x v="1"/>
    <x v="1"/>
    <x v="0"/>
    <x v="0"/>
    <x v="0"/>
    <x v="282"/>
    <x v="298"/>
    <x v="0"/>
  </r>
  <r>
    <x v="165"/>
    <x v="153"/>
    <x v="2"/>
    <x v="24"/>
    <x v="24"/>
    <x v="196"/>
    <x v="13"/>
    <x v="226"/>
    <x v="283"/>
    <x v="299"/>
    <x v="19"/>
  </r>
  <r>
    <x v="166"/>
    <x v="154"/>
    <x v="2"/>
    <x v="24"/>
    <x v="24"/>
    <x v="197"/>
    <x v="2"/>
    <x v="227"/>
    <x v="284"/>
    <x v="300"/>
    <x v="56"/>
  </r>
  <r>
    <x v="167"/>
    <x v="155"/>
    <x v="17"/>
    <x v="23"/>
    <x v="26"/>
    <x v="0"/>
    <x v="53"/>
    <x v="0"/>
    <x v="0"/>
    <x v="300"/>
    <x v="0"/>
  </r>
  <r>
    <x v="167"/>
    <x v="155"/>
    <x v="15"/>
    <x v="23"/>
    <x v="26"/>
    <x v="0"/>
    <x v="54"/>
    <x v="0"/>
    <x v="0"/>
    <x v="300"/>
    <x v="57"/>
  </r>
  <r>
    <x v="168"/>
    <x v="156"/>
    <x v="13"/>
    <x v="23"/>
    <x v="26"/>
    <x v="198"/>
    <x v="55"/>
    <x v="228"/>
    <x v="0"/>
    <x v="300"/>
    <x v="58"/>
  </r>
  <r>
    <x v="169"/>
    <x v="157"/>
    <x v="1"/>
    <x v="1"/>
    <x v="1"/>
    <x v="0"/>
    <x v="0"/>
    <x v="0"/>
    <x v="285"/>
    <x v="301"/>
    <x v="0"/>
  </r>
  <r>
    <x v="169"/>
    <x v="157"/>
    <x v="2"/>
    <x v="19"/>
    <x v="19"/>
    <x v="199"/>
    <x v="56"/>
    <x v="229"/>
    <x v="286"/>
    <x v="302"/>
    <x v="59"/>
  </r>
  <r>
    <x v="170"/>
    <x v="158"/>
    <x v="6"/>
    <x v="24"/>
    <x v="24"/>
    <x v="0"/>
    <x v="57"/>
    <x v="230"/>
    <x v="287"/>
    <x v="303"/>
    <x v="0"/>
  </r>
  <r>
    <x v="171"/>
    <x v="159"/>
    <x v="5"/>
    <x v="1"/>
    <x v="1"/>
    <x v="0"/>
    <x v="0"/>
    <x v="0"/>
    <x v="288"/>
    <x v="304"/>
    <x v="0"/>
  </r>
  <r>
    <x v="172"/>
    <x v="160"/>
    <x v="1"/>
    <x v="1"/>
    <x v="1"/>
    <x v="0"/>
    <x v="0"/>
    <x v="0"/>
    <x v="289"/>
    <x v="305"/>
    <x v="0"/>
  </r>
  <r>
    <x v="172"/>
    <x v="160"/>
    <x v="2"/>
    <x v="19"/>
    <x v="19"/>
    <x v="200"/>
    <x v="58"/>
    <x v="231"/>
    <x v="290"/>
    <x v="306"/>
    <x v="60"/>
  </r>
  <r>
    <x v="173"/>
    <x v="161"/>
    <x v="1"/>
    <x v="1"/>
    <x v="1"/>
    <x v="0"/>
    <x v="0"/>
    <x v="0"/>
    <x v="291"/>
    <x v="307"/>
    <x v="0"/>
  </r>
  <r>
    <x v="173"/>
    <x v="161"/>
    <x v="2"/>
    <x v="26"/>
    <x v="27"/>
    <x v="201"/>
    <x v="30"/>
    <x v="232"/>
    <x v="292"/>
    <x v="308"/>
    <x v="34"/>
  </r>
  <r>
    <x v="173"/>
    <x v="161"/>
    <x v="3"/>
    <x v="19"/>
    <x v="19"/>
    <x v="202"/>
    <x v="58"/>
    <x v="233"/>
    <x v="293"/>
    <x v="309"/>
    <x v="59"/>
  </r>
  <r>
    <x v="174"/>
    <x v="162"/>
    <x v="2"/>
    <x v="19"/>
    <x v="19"/>
    <x v="203"/>
    <x v="58"/>
    <x v="234"/>
    <x v="294"/>
    <x v="310"/>
    <x v="60"/>
  </r>
  <r>
    <x v="174"/>
    <x v="162"/>
    <x v="2"/>
    <x v="26"/>
    <x v="27"/>
    <x v="204"/>
    <x v="26"/>
    <x v="235"/>
    <x v="295"/>
    <x v="311"/>
    <x v="61"/>
  </r>
  <r>
    <x v="174"/>
    <x v="162"/>
    <x v="2"/>
    <x v="26"/>
    <x v="27"/>
    <x v="205"/>
    <x v="26"/>
    <x v="236"/>
    <x v="296"/>
    <x v="312"/>
    <x v="62"/>
  </r>
  <r>
    <x v="174"/>
    <x v="162"/>
    <x v="3"/>
    <x v="19"/>
    <x v="19"/>
    <x v="186"/>
    <x v="58"/>
    <x v="237"/>
    <x v="297"/>
    <x v="313"/>
    <x v="59"/>
  </r>
  <r>
    <x v="175"/>
    <x v="163"/>
    <x v="2"/>
    <x v="19"/>
    <x v="19"/>
    <x v="206"/>
    <x v="49"/>
    <x v="238"/>
    <x v="298"/>
    <x v="314"/>
    <x v="63"/>
  </r>
  <r>
    <x v="175"/>
    <x v="163"/>
    <x v="2"/>
    <x v="19"/>
    <x v="19"/>
    <x v="207"/>
    <x v="31"/>
    <x v="239"/>
    <x v="299"/>
    <x v="315"/>
    <x v="64"/>
  </r>
  <r>
    <x v="175"/>
    <x v="163"/>
    <x v="2"/>
    <x v="26"/>
    <x v="27"/>
    <x v="208"/>
    <x v="26"/>
    <x v="240"/>
    <x v="300"/>
    <x v="316"/>
    <x v="65"/>
  </r>
  <r>
    <x v="175"/>
    <x v="163"/>
    <x v="3"/>
    <x v="26"/>
    <x v="27"/>
    <x v="209"/>
    <x v="26"/>
    <x v="241"/>
    <x v="301"/>
    <x v="317"/>
    <x v="62"/>
  </r>
  <r>
    <x v="176"/>
    <x v="164"/>
    <x v="3"/>
    <x v="19"/>
    <x v="19"/>
    <x v="210"/>
    <x v="31"/>
    <x v="242"/>
    <x v="302"/>
    <x v="318"/>
    <x v="63"/>
  </r>
  <r>
    <x v="177"/>
    <x v="165"/>
    <x v="3"/>
    <x v="26"/>
    <x v="27"/>
    <x v="211"/>
    <x v="26"/>
    <x v="141"/>
    <x v="303"/>
    <x v="319"/>
    <x v="61"/>
  </r>
  <r>
    <x v="178"/>
    <x v="166"/>
    <x v="3"/>
    <x v="26"/>
    <x v="27"/>
    <x v="212"/>
    <x v="59"/>
    <x v="243"/>
    <x v="304"/>
    <x v="320"/>
    <x v="0"/>
  </r>
  <r>
    <x v="179"/>
    <x v="167"/>
    <x v="3"/>
    <x v="19"/>
    <x v="19"/>
    <x v="213"/>
    <x v="60"/>
    <x v="244"/>
    <x v="305"/>
    <x v="321"/>
    <x v="66"/>
  </r>
  <r>
    <x v="179"/>
    <x v="167"/>
    <x v="3"/>
    <x v="19"/>
    <x v="19"/>
    <x v="214"/>
    <x v="61"/>
    <x v="245"/>
    <x v="306"/>
    <x v="322"/>
    <x v="0"/>
  </r>
  <r>
    <x v="179"/>
    <x v="167"/>
    <x v="2"/>
    <x v="24"/>
    <x v="24"/>
    <x v="215"/>
    <x v="26"/>
    <x v="246"/>
    <x v="307"/>
    <x v="323"/>
    <x v="67"/>
  </r>
  <r>
    <x v="180"/>
    <x v="168"/>
    <x v="3"/>
    <x v="24"/>
    <x v="24"/>
    <x v="216"/>
    <x v="26"/>
    <x v="247"/>
    <x v="308"/>
    <x v="324"/>
    <x v="56"/>
  </r>
  <r>
    <x v="180"/>
    <x v="168"/>
    <x v="2"/>
    <x v="24"/>
    <x v="24"/>
    <x v="217"/>
    <x v="26"/>
    <x v="248"/>
    <x v="309"/>
    <x v="325"/>
    <x v="67"/>
  </r>
  <r>
    <x v="181"/>
    <x v="169"/>
    <x v="2"/>
    <x v="24"/>
    <x v="24"/>
    <x v="218"/>
    <x v="26"/>
    <x v="249"/>
    <x v="310"/>
    <x v="326"/>
    <x v="68"/>
  </r>
  <r>
    <x v="181"/>
    <x v="169"/>
    <x v="2"/>
    <x v="24"/>
    <x v="24"/>
    <x v="219"/>
    <x v="62"/>
    <x v="250"/>
    <x v="311"/>
    <x v="327"/>
    <x v="69"/>
  </r>
  <r>
    <x v="181"/>
    <x v="169"/>
    <x v="3"/>
    <x v="24"/>
    <x v="24"/>
    <x v="217"/>
    <x v="26"/>
    <x v="248"/>
    <x v="312"/>
    <x v="328"/>
    <x v="70"/>
  </r>
  <r>
    <x v="182"/>
    <x v="170"/>
    <x v="3"/>
    <x v="24"/>
    <x v="24"/>
    <x v="215"/>
    <x v="62"/>
    <x v="251"/>
    <x v="313"/>
    <x v="329"/>
    <x v="67"/>
  </r>
  <r>
    <x v="182"/>
    <x v="170"/>
    <x v="2"/>
    <x v="24"/>
    <x v="24"/>
    <x v="220"/>
    <x v="26"/>
    <x v="252"/>
    <x v="314"/>
    <x v="330"/>
    <x v="68"/>
  </r>
  <r>
    <x v="182"/>
    <x v="170"/>
    <x v="3"/>
    <x v="24"/>
    <x v="24"/>
    <x v="221"/>
    <x v="63"/>
    <x v="253"/>
    <x v="315"/>
    <x v="331"/>
    <x v="19"/>
  </r>
  <r>
    <x v="183"/>
    <x v="97"/>
    <x v="9"/>
    <x v="24"/>
    <x v="24"/>
    <x v="0"/>
    <x v="0"/>
    <x v="0"/>
    <x v="316"/>
    <x v="332"/>
    <x v="0"/>
  </r>
  <r>
    <x v="183"/>
    <x v="97"/>
    <x v="9"/>
    <x v="24"/>
    <x v="24"/>
    <x v="0"/>
    <x v="0"/>
    <x v="0"/>
    <x v="316"/>
    <x v="333"/>
    <x v="0"/>
  </r>
  <r>
    <x v="183"/>
    <x v="97"/>
    <x v="9"/>
    <x v="24"/>
    <x v="24"/>
    <x v="0"/>
    <x v="0"/>
    <x v="0"/>
    <x v="317"/>
    <x v="334"/>
    <x v="0"/>
  </r>
  <r>
    <x v="183"/>
    <x v="171"/>
    <x v="2"/>
    <x v="19"/>
    <x v="19"/>
    <x v="222"/>
    <x v="64"/>
    <x v="254"/>
    <x v="318"/>
    <x v="335"/>
    <x v="71"/>
  </r>
  <r>
    <x v="183"/>
    <x v="171"/>
    <x v="2"/>
    <x v="27"/>
    <x v="28"/>
    <x v="223"/>
    <x v="64"/>
    <x v="255"/>
    <x v="319"/>
    <x v="336"/>
    <x v="71"/>
  </r>
  <r>
    <x v="183"/>
    <x v="171"/>
    <x v="2"/>
    <x v="27"/>
    <x v="28"/>
    <x v="224"/>
    <x v="64"/>
    <x v="256"/>
    <x v="320"/>
    <x v="337"/>
    <x v="72"/>
  </r>
  <r>
    <x v="183"/>
    <x v="171"/>
    <x v="2"/>
    <x v="24"/>
    <x v="24"/>
    <x v="225"/>
    <x v="62"/>
    <x v="257"/>
    <x v="321"/>
    <x v="338"/>
    <x v="73"/>
  </r>
  <r>
    <x v="184"/>
    <x v="172"/>
    <x v="3"/>
    <x v="24"/>
    <x v="24"/>
    <x v="226"/>
    <x v="26"/>
    <x v="258"/>
    <x v="322"/>
    <x v="339"/>
    <x v="31"/>
  </r>
  <r>
    <x v="185"/>
    <x v="173"/>
    <x v="1"/>
    <x v="1"/>
    <x v="1"/>
    <x v="0"/>
    <x v="0"/>
    <x v="0"/>
    <x v="129"/>
    <x v="340"/>
    <x v="0"/>
  </r>
  <r>
    <x v="185"/>
    <x v="173"/>
    <x v="2"/>
    <x v="24"/>
    <x v="24"/>
    <x v="227"/>
    <x v="26"/>
    <x v="259"/>
    <x v="323"/>
    <x v="341"/>
    <x v="73"/>
  </r>
  <r>
    <x v="185"/>
    <x v="173"/>
    <x v="2"/>
    <x v="19"/>
    <x v="19"/>
    <x v="228"/>
    <x v="64"/>
    <x v="260"/>
    <x v="324"/>
    <x v="342"/>
    <x v="72"/>
  </r>
  <r>
    <x v="185"/>
    <x v="173"/>
    <x v="2"/>
    <x v="24"/>
    <x v="24"/>
    <x v="229"/>
    <x v="13"/>
    <x v="78"/>
    <x v="325"/>
    <x v="343"/>
    <x v="61"/>
  </r>
  <r>
    <x v="186"/>
    <x v="174"/>
    <x v="3"/>
    <x v="24"/>
    <x v="24"/>
    <x v="230"/>
    <x v="59"/>
    <x v="261"/>
    <x v="326"/>
    <x v="344"/>
    <x v="0"/>
  </r>
  <r>
    <x v="186"/>
    <x v="174"/>
    <x v="2"/>
    <x v="24"/>
    <x v="24"/>
    <x v="231"/>
    <x v="59"/>
    <x v="262"/>
    <x v="327"/>
    <x v="345"/>
    <x v="61"/>
  </r>
  <r>
    <x v="186"/>
    <x v="174"/>
    <x v="3"/>
    <x v="19"/>
    <x v="19"/>
    <x v="232"/>
    <x v="60"/>
    <x v="263"/>
    <x v="328"/>
    <x v="346"/>
    <x v="0"/>
  </r>
  <r>
    <x v="186"/>
    <x v="174"/>
    <x v="3"/>
    <x v="27"/>
    <x v="28"/>
    <x v="233"/>
    <x v="60"/>
    <x v="264"/>
    <x v="329"/>
    <x v="347"/>
    <x v="0"/>
  </r>
  <r>
    <x v="186"/>
    <x v="174"/>
    <x v="2"/>
    <x v="28"/>
    <x v="29"/>
    <x v="234"/>
    <x v="64"/>
    <x v="265"/>
    <x v="330"/>
    <x v="348"/>
    <x v="71"/>
  </r>
  <r>
    <x v="187"/>
    <x v="175"/>
    <x v="3"/>
    <x v="28"/>
    <x v="29"/>
    <x v="235"/>
    <x v="64"/>
    <x v="266"/>
    <x v="331"/>
    <x v="349"/>
    <x v="0"/>
  </r>
  <r>
    <x v="187"/>
    <x v="175"/>
    <x v="2"/>
    <x v="28"/>
    <x v="29"/>
    <x v="236"/>
    <x v="64"/>
    <x v="267"/>
    <x v="332"/>
    <x v="350"/>
    <x v="71"/>
  </r>
  <r>
    <x v="187"/>
    <x v="175"/>
    <x v="2"/>
    <x v="26"/>
    <x v="27"/>
    <x v="237"/>
    <x v="26"/>
    <x v="268"/>
    <x v="333"/>
    <x v="351"/>
    <x v="19"/>
  </r>
  <r>
    <x v="188"/>
    <x v="176"/>
    <x v="2"/>
    <x v="28"/>
    <x v="29"/>
    <x v="238"/>
    <x v="64"/>
    <x v="269"/>
    <x v="334"/>
    <x v="352"/>
    <x v="72"/>
  </r>
  <r>
    <x v="189"/>
    <x v="177"/>
    <x v="2"/>
    <x v="26"/>
    <x v="27"/>
    <x v="239"/>
    <x v="26"/>
    <x v="270"/>
    <x v="335"/>
    <x v="353"/>
    <x v="31"/>
  </r>
  <r>
    <x v="189"/>
    <x v="177"/>
    <x v="2"/>
    <x v="29"/>
    <x v="30"/>
    <x v="240"/>
    <x v="64"/>
    <x v="271"/>
    <x v="336"/>
    <x v="354"/>
    <x v="71"/>
  </r>
  <r>
    <x v="189"/>
    <x v="177"/>
    <x v="18"/>
    <x v="30"/>
    <x v="31"/>
    <x v="241"/>
    <x v="60"/>
    <x v="0"/>
    <x v="0"/>
    <x v="354"/>
    <x v="72"/>
  </r>
  <r>
    <x v="189"/>
    <x v="177"/>
    <x v="17"/>
    <x v="28"/>
    <x v="29"/>
    <x v="242"/>
    <x v="64"/>
    <x v="0"/>
    <x v="0"/>
    <x v="354"/>
    <x v="71"/>
  </r>
  <r>
    <x v="189"/>
    <x v="177"/>
    <x v="17"/>
    <x v="29"/>
    <x v="30"/>
    <x v="243"/>
    <x v="64"/>
    <x v="0"/>
    <x v="0"/>
    <x v="354"/>
    <x v="0"/>
  </r>
  <r>
    <x v="190"/>
    <x v="178"/>
    <x v="3"/>
    <x v="28"/>
    <x v="29"/>
    <x v="244"/>
    <x v="64"/>
    <x v="272"/>
    <x v="337"/>
    <x v="355"/>
    <x v="0"/>
  </r>
  <r>
    <x v="190"/>
    <x v="178"/>
    <x v="3"/>
    <x v="26"/>
    <x v="27"/>
    <x v="245"/>
    <x v="26"/>
    <x v="273"/>
    <x v="338"/>
    <x v="356"/>
    <x v="19"/>
  </r>
  <r>
    <x v="190"/>
    <x v="178"/>
    <x v="3"/>
    <x v="26"/>
    <x v="27"/>
    <x v="246"/>
    <x v="26"/>
    <x v="274"/>
    <x v="339"/>
    <x v="357"/>
    <x v="0"/>
  </r>
  <r>
    <x v="191"/>
    <x v="179"/>
    <x v="3"/>
    <x v="24"/>
    <x v="24"/>
    <x v="247"/>
    <x v="13"/>
    <x v="275"/>
    <x v="340"/>
    <x v="358"/>
    <x v="73"/>
  </r>
  <r>
    <x v="191"/>
    <x v="179"/>
    <x v="2"/>
    <x v="26"/>
    <x v="27"/>
    <x v="248"/>
    <x v="3"/>
    <x v="276"/>
    <x v="341"/>
    <x v="359"/>
    <x v="3"/>
  </r>
  <r>
    <x v="191"/>
    <x v="179"/>
    <x v="2"/>
    <x v="26"/>
    <x v="27"/>
    <x v="249"/>
    <x v="17"/>
    <x v="277"/>
    <x v="342"/>
    <x v="360"/>
    <x v="19"/>
  </r>
  <r>
    <x v="191"/>
    <x v="179"/>
    <x v="2"/>
    <x v="26"/>
    <x v="27"/>
    <x v="250"/>
    <x v="26"/>
    <x v="278"/>
    <x v="343"/>
    <x v="361"/>
    <x v="31"/>
  </r>
  <r>
    <x v="192"/>
    <x v="178"/>
    <x v="19"/>
    <x v="30"/>
    <x v="31"/>
    <x v="251"/>
    <x v="60"/>
    <x v="279"/>
    <x v="344"/>
    <x v="362"/>
    <x v="0"/>
  </r>
  <r>
    <x v="192"/>
    <x v="180"/>
    <x v="2"/>
    <x v="26"/>
    <x v="27"/>
    <x v="252"/>
    <x v="26"/>
    <x v="280"/>
    <x v="345"/>
    <x v="363"/>
    <x v="73"/>
  </r>
  <r>
    <x v="192"/>
    <x v="180"/>
    <x v="2"/>
    <x v="24"/>
    <x v="24"/>
    <x v="59"/>
    <x v="13"/>
    <x v="281"/>
    <x v="346"/>
    <x v="364"/>
    <x v="61"/>
  </r>
  <r>
    <x v="192"/>
    <x v="180"/>
    <x v="2"/>
    <x v="26"/>
    <x v="27"/>
    <x v="253"/>
    <x v="26"/>
    <x v="282"/>
    <x v="347"/>
    <x v="365"/>
    <x v="74"/>
  </r>
  <r>
    <x v="192"/>
    <x v="180"/>
    <x v="3"/>
    <x v="26"/>
    <x v="27"/>
    <x v="254"/>
    <x v="62"/>
    <x v="283"/>
    <x v="348"/>
    <x v="366"/>
    <x v="31"/>
  </r>
  <r>
    <x v="192"/>
    <x v="180"/>
    <x v="3"/>
    <x v="24"/>
    <x v="24"/>
    <x v="255"/>
    <x v="26"/>
    <x v="284"/>
    <x v="349"/>
    <x v="367"/>
    <x v="34"/>
  </r>
  <r>
    <x v="192"/>
    <x v="180"/>
    <x v="2"/>
    <x v="26"/>
    <x v="27"/>
    <x v="256"/>
    <x v="62"/>
    <x v="285"/>
    <x v="350"/>
    <x v="368"/>
    <x v="74"/>
  </r>
  <r>
    <x v="192"/>
    <x v="180"/>
    <x v="2"/>
    <x v="31"/>
    <x v="32"/>
    <x v="257"/>
    <x v="13"/>
    <x v="286"/>
    <x v="351"/>
    <x v="369"/>
    <x v="11"/>
  </r>
  <r>
    <x v="193"/>
    <x v="181"/>
    <x v="3"/>
    <x v="26"/>
    <x v="27"/>
    <x v="258"/>
    <x v="62"/>
    <x v="287"/>
    <x v="352"/>
    <x v="370"/>
    <x v="31"/>
  </r>
  <r>
    <x v="193"/>
    <x v="181"/>
    <x v="2"/>
    <x v="31"/>
    <x v="32"/>
    <x v="259"/>
    <x v="13"/>
    <x v="288"/>
    <x v="353"/>
    <x v="371"/>
    <x v="19"/>
  </r>
  <r>
    <x v="193"/>
    <x v="181"/>
    <x v="3"/>
    <x v="26"/>
    <x v="27"/>
    <x v="260"/>
    <x v="62"/>
    <x v="289"/>
    <x v="354"/>
    <x v="372"/>
    <x v="0"/>
  </r>
  <r>
    <x v="193"/>
    <x v="181"/>
    <x v="3"/>
    <x v="31"/>
    <x v="32"/>
    <x v="261"/>
    <x v="13"/>
    <x v="290"/>
    <x v="355"/>
    <x v="373"/>
    <x v="11"/>
  </r>
  <r>
    <x v="193"/>
    <x v="181"/>
    <x v="2"/>
    <x v="31"/>
    <x v="32"/>
    <x v="262"/>
    <x v="26"/>
    <x v="291"/>
    <x v="356"/>
    <x v="374"/>
    <x v="20"/>
  </r>
  <r>
    <x v="193"/>
    <x v="181"/>
    <x v="2"/>
    <x v="26"/>
    <x v="27"/>
    <x v="263"/>
    <x v="62"/>
    <x v="292"/>
    <x v="357"/>
    <x v="375"/>
    <x v="31"/>
  </r>
  <r>
    <x v="194"/>
    <x v="182"/>
    <x v="3"/>
    <x v="31"/>
    <x v="32"/>
    <x v="264"/>
    <x v="26"/>
    <x v="293"/>
    <x v="358"/>
    <x v="376"/>
    <x v="11"/>
  </r>
  <r>
    <x v="194"/>
    <x v="182"/>
    <x v="3"/>
    <x v="26"/>
    <x v="27"/>
    <x v="265"/>
    <x v="26"/>
    <x v="294"/>
    <x v="359"/>
    <x v="377"/>
    <x v="19"/>
  </r>
  <r>
    <x v="194"/>
    <x v="182"/>
    <x v="3"/>
    <x v="26"/>
    <x v="27"/>
    <x v="266"/>
    <x v="26"/>
    <x v="295"/>
    <x v="360"/>
    <x v="378"/>
    <x v="0"/>
  </r>
  <r>
    <x v="194"/>
    <x v="182"/>
    <x v="2"/>
    <x v="32"/>
    <x v="33"/>
    <x v="267"/>
    <x v="65"/>
    <x v="296"/>
    <x v="361"/>
    <x v="379"/>
    <x v="20"/>
  </r>
  <r>
    <x v="195"/>
    <x v="183"/>
    <x v="3"/>
    <x v="31"/>
    <x v="32"/>
    <x v="268"/>
    <x v="13"/>
    <x v="297"/>
    <x v="362"/>
    <x v="380"/>
    <x v="0"/>
  </r>
  <r>
    <x v="195"/>
    <x v="183"/>
    <x v="2"/>
    <x v="32"/>
    <x v="33"/>
    <x v="269"/>
    <x v="65"/>
    <x v="298"/>
    <x v="363"/>
    <x v="381"/>
    <x v="73"/>
  </r>
  <r>
    <x v="196"/>
    <x v="184"/>
    <x v="3"/>
    <x v="32"/>
    <x v="33"/>
    <x v="270"/>
    <x v="66"/>
    <x v="299"/>
    <x v="364"/>
    <x v="382"/>
    <x v="0"/>
  </r>
  <r>
    <x v="196"/>
    <x v="184"/>
    <x v="2"/>
    <x v="32"/>
    <x v="33"/>
    <x v="271"/>
    <x v="65"/>
    <x v="300"/>
    <x v="365"/>
    <x v="383"/>
    <x v="20"/>
  </r>
  <r>
    <x v="197"/>
    <x v="185"/>
    <x v="4"/>
    <x v="1"/>
    <x v="1"/>
    <x v="0"/>
    <x v="0"/>
    <x v="0"/>
    <x v="366"/>
    <x v="384"/>
    <x v="0"/>
  </r>
  <r>
    <x v="197"/>
    <x v="185"/>
    <x v="3"/>
    <x v="32"/>
    <x v="33"/>
    <x v="272"/>
    <x v="13"/>
    <x v="301"/>
    <x v="367"/>
    <x v="385"/>
    <x v="19"/>
  </r>
  <r>
    <x v="197"/>
    <x v="185"/>
    <x v="3"/>
    <x v="32"/>
    <x v="33"/>
    <x v="273"/>
    <x v="13"/>
    <x v="302"/>
    <x v="368"/>
    <x v="386"/>
    <x v="11"/>
  </r>
  <r>
    <x v="197"/>
    <x v="185"/>
    <x v="3"/>
    <x v="32"/>
    <x v="33"/>
    <x v="274"/>
    <x v="13"/>
    <x v="303"/>
    <x v="369"/>
    <x v="387"/>
    <x v="0"/>
  </r>
  <r>
    <x v="198"/>
    <x v="186"/>
    <x v="2"/>
    <x v="24"/>
    <x v="24"/>
    <x v="275"/>
    <x v="30"/>
    <x v="304"/>
    <x v="370"/>
    <x v="388"/>
    <x v="35"/>
  </r>
  <r>
    <x v="198"/>
    <x v="186"/>
    <x v="3"/>
    <x v="24"/>
    <x v="24"/>
    <x v="215"/>
    <x v="30"/>
    <x v="305"/>
    <x v="371"/>
    <x v="389"/>
    <x v="34"/>
  </r>
  <r>
    <x v="198"/>
    <x v="186"/>
    <x v="2"/>
    <x v="33"/>
    <x v="34"/>
    <x v="276"/>
    <x v="3"/>
    <x v="306"/>
    <x v="372"/>
    <x v="390"/>
    <x v="3"/>
  </r>
  <r>
    <x v="199"/>
    <x v="187"/>
    <x v="2"/>
    <x v="26"/>
    <x v="27"/>
    <x v="277"/>
    <x v="26"/>
    <x v="307"/>
    <x v="373"/>
    <x v="391"/>
    <x v="19"/>
  </r>
  <r>
    <x v="200"/>
    <x v="188"/>
    <x v="2"/>
    <x v="34"/>
    <x v="35"/>
    <x v="244"/>
    <x v="67"/>
    <x v="308"/>
    <x v="374"/>
    <x v="392"/>
    <x v="75"/>
  </r>
  <r>
    <x v="201"/>
    <x v="189"/>
    <x v="2"/>
    <x v="34"/>
    <x v="35"/>
    <x v="278"/>
    <x v="67"/>
    <x v="309"/>
    <x v="375"/>
    <x v="393"/>
    <x v="55"/>
  </r>
  <r>
    <x v="202"/>
    <x v="190"/>
    <x v="1"/>
    <x v="1"/>
    <x v="1"/>
    <x v="0"/>
    <x v="0"/>
    <x v="0"/>
    <x v="376"/>
    <x v="394"/>
    <x v="0"/>
  </r>
  <r>
    <x v="202"/>
    <x v="190"/>
    <x v="2"/>
    <x v="34"/>
    <x v="35"/>
    <x v="279"/>
    <x v="68"/>
    <x v="310"/>
    <x v="377"/>
    <x v="395"/>
    <x v="76"/>
  </r>
  <r>
    <x v="203"/>
    <x v="191"/>
    <x v="15"/>
    <x v="34"/>
    <x v="35"/>
    <x v="0"/>
    <x v="69"/>
    <x v="0"/>
    <x v="0"/>
    <x v="395"/>
    <x v="77"/>
  </r>
  <r>
    <x v="203"/>
    <x v="191"/>
    <x v="15"/>
    <x v="35"/>
    <x v="36"/>
    <x v="0"/>
    <x v="70"/>
    <x v="0"/>
    <x v="0"/>
    <x v="395"/>
    <x v="78"/>
  </r>
  <r>
    <x v="203"/>
    <x v="191"/>
    <x v="17"/>
    <x v="34"/>
    <x v="35"/>
    <x v="0"/>
    <x v="71"/>
    <x v="0"/>
    <x v="0"/>
    <x v="395"/>
    <x v="79"/>
  </r>
  <r>
    <x v="204"/>
    <x v="192"/>
    <x v="3"/>
    <x v="34"/>
    <x v="35"/>
    <x v="280"/>
    <x v="69"/>
    <x v="311"/>
    <x v="378"/>
    <x v="396"/>
    <x v="0"/>
  </r>
  <r>
    <x v="205"/>
    <x v="193"/>
    <x v="4"/>
    <x v="1"/>
    <x v="1"/>
    <x v="0"/>
    <x v="0"/>
    <x v="0"/>
    <x v="379"/>
    <x v="397"/>
    <x v="0"/>
  </r>
  <r>
    <x v="206"/>
    <x v="192"/>
    <x v="19"/>
    <x v="35"/>
    <x v="36"/>
    <x v="281"/>
    <x v="70"/>
    <x v="312"/>
    <x v="380"/>
    <x v="398"/>
    <x v="0"/>
  </r>
  <r>
    <x v="207"/>
    <x v="194"/>
    <x v="2"/>
    <x v="24"/>
    <x v="24"/>
    <x v="282"/>
    <x v="30"/>
    <x v="313"/>
    <x v="381"/>
    <x v="399"/>
    <x v="35"/>
  </r>
  <r>
    <x v="207"/>
    <x v="194"/>
    <x v="2"/>
    <x v="33"/>
    <x v="34"/>
    <x v="283"/>
    <x v="3"/>
    <x v="314"/>
    <x v="382"/>
    <x v="400"/>
    <x v="11"/>
  </r>
  <r>
    <x v="207"/>
    <x v="194"/>
    <x v="2"/>
    <x v="26"/>
    <x v="27"/>
    <x v="284"/>
    <x v="67"/>
    <x v="315"/>
    <x v="383"/>
    <x v="401"/>
    <x v="80"/>
  </r>
  <r>
    <x v="208"/>
    <x v="195"/>
    <x v="3"/>
    <x v="33"/>
    <x v="34"/>
    <x v="285"/>
    <x v="3"/>
    <x v="316"/>
    <x v="384"/>
    <x v="402"/>
    <x v="3"/>
  </r>
  <r>
    <x v="209"/>
    <x v="196"/>
    <x v="3"/>
    <x v="24"/>
    <x v="24"/>
    <x v="286"/>
    <x v="26"/>
    <x v="317"/>
    <x v="385"/>
    <x v="403"/>
    <x v="74"/>
  </r>
  <r>
    <x v="209"/>
    <x v="196"/>
    <x v="3"/>
    <x v="24"/>
    <x v="24"/>
    <x v="287"/>
    <x v="13"/>
    <x v="318"/>
    <x v="386"/>
    <x v="404"/>
    <x v="61"/>
  </r>
  <r>
    <x v="209"/>
    <x v="196"/>
    <x v="3"/>
    <x v="24"/>
    <x v="24"/>
    <x v="288"/>
    <x v="13"/>
    <x v="319"/>
    <x v="387"/>
    <x v="405"/>
    <x v="73"/>
  </r>
  <r>
    <x v="209"/>
    <x v="196"/>
    <x v="2"/>
    <x v="24"/>
    <x v="24"/>
    <x v="289"/>
    <x v="13"/>
    <x v="320"/>
    <x v="388"/>
    <x v="406"/>
    <x v="61"/>
  </r>
  <r>
    <x v="210"/>
    <x v="197"/>
    <x v="5"/>
    <x v="1"/>
    <x v="1"/>
    <x v="0"/>
    <x v="0"/>
    <x v="0"/>
    <x v="389"/>
    <x v="407"/>
    <x v="0"/>
  </r>
  <r>
    <x v="211"/>
    <x v="198"/>
    <x v="3"/>
    <x v="26"/>
    <x v="27"/>
    <x v="290"/>
    <x v="67"/>
    <x v="321"/>
    <x v="390"/>
    <x v="408"/>
    <x v="19"/>
  </r>
  <r>
    <x v="212"/>
    <x v="199"/>
    <x v="4"/>
    <x v="1"/>
    <x v="1"/>
    <x v="0"/>
    <x v="0"/>
    <x v="0"/>
    <x v="391"/>
    <x v="409"/>
    <x v="0"/>
  </r>
  <r>
    <x v="213"/>
    <x v="200"/>
    <x v="2"/>
    <x v="26"/>
    <x v="27"/>
    <x v="291"/>
    <x v="19"/>
    <x v="322"/>
    <x v="392"/>
    <x v="410"/>
    <x v="38"/>
  </r>
  <r>
    <x v="214"/>
    <x v="201"/>
    <x v="3"/>
    <x v="26"/>
    <x v="27"/>
    <x v="292"/>
    <x v="26"/>
    <x v="323"/>
    <x v="393"/>
    <x v="411"/>
    <x v="21"/>
  </r>
  <r>
    <x v="215"/>
    <x v="202"/>
    <x v="3"/>
    <x v="26"/>
    <x v="27"/>
    <x v="293"/>
    <x v="3"/>
    <x v="324"/>
    <x v="394"/>
    <x v="412"/>
    <x v="19"/>
  </r>
  <r>
    <x v="216"/>
    <x v="203"/>
    <x v="3"/>
    <x v="33"/>
    <x v="34"/>
    <x v="294"/>
    <x v="3"/>
    <x v="325"/>
    <x v="395"/>
    <x v="413"/>
    <x v="0"/>
  </r>
  <r>
    <x v="217"/>
    <x v="204"/>
    <x v="2"/>
    <x v="33"/>
    <x v="34"/>
    <x v="295"/>
    <x v="3"/>
    <x v="326"/>
    <x v="396"/>
    <x v="414"/>
    <x v="3"/>
  </r>
  <r>
    <x v="218"/>
    <x v="205"/>
    <x v="3"/>
    <x v="33"/>
    <x v="34"/>
    <x v="296"/>
    <x v="3"/>
    <x v="327"/>
    <x v="397"/>
    <x v="415"/>
    <x v="0"/>
  </r>
  <r>
    <x v="219"/>
    <x v="206"/>
    <x v="17"/>
    <x v="23"/>
    <x v="26"/>
    <x v="0"/>
    <x v="72"/>
    <x v="0"/>
    <x v="0"/>
    <x v="415"/>
    <x v="0"/>
  </r>
  <r>
    <x v="219"/>
    <x v="206"/>
    <x v="15"/>
    <x v="23"/>
    <x v="26"/>
    <x v="0"/>
    <x v="73"/>
    <x v="0"/>
    <x v="0"/>
    <x v="415"/>
    <x v="81"/>
  </r>
  <r>
    <x v="220"/>
    <x v="206"/>
    <x v="16"/>
    <x v="36"/>
    <x v="37"/>
    <x v="297"/>
    <x v="74"/>
    <x v="328"/>
    <x v="398"/>
    <x v="416"/>
    <x v="82"/>
  </r>
  <r>
    <x v="221"/>
    <x v="207"/>
    <x v="5"/>
    <x v="1"/>
    <x v="1"/>
    <x v="0"/>
    <x v="0"/>
    <x v="0"/>
    <x v="399"/>
    <x v="417"/>
    <x v="0"/>
  </r>
  <r>
    <x v="222"/>
    <x v="208"/>
    <x v="2"/>
    <x v="16"/>
    <x v="16"/>
    <x v="171"/>
    <x v="11"/>
    <x v="329"/>
    <x v="400"/>
    <x v="418"/>
    <x v="23"/>
  </r>
  <r>
    <x v="223"/>
    <x v="208"/>
    <x v="11"/>
    <x v="20"/>
    <x v="20"/>
    <x v="0"/>
    <x v="11"/>
    <x v="0"/>
    <x v="0"/>
    <x v="418"/>
    <x v="0"/>
  </r>
  <r>
    <x v="223"/>
    <x v="208"/>
    <x v="10"/>
    <x v="16"/>
    <x v="16"/>
    <x v="0"/>
    <x v="0"/>
    <x v="330"/>
    <x v="401"/>
    <x v="419"/>
    <x v="0"/>
  </r>
  <r>
    <x v="224"/>
    <x v="209"/>
    <x v="2"/>
    <x v="36"/>
    <x v="37"/>
    <x v="298"/>
    <x v="31"/>
    <x v="331"/>
    <x v="402"/>
    <x v="420"/>
    <x v="83"/>
  </r>
  <r>
    <x v="225"/>
    <x v="210"/>
    <x v="6"/>
    <x v="26"/>
    <x v="27"/>
    <x v="0"/>
    <x v="26"/>
    <x v="332"/>
    <x v="403"/>
    <x v="421"/>
    <x v="0"/>
  </r>
  <r>
    <x v="226"/>
    <x v="211"/>
    <x v="2"/>
    <x v="26"/>
    <x v="27"/>
    <x v="299"/>
    <x v="26"/>
    <x v="333"/>
    <x v="404"/>
    <x v="422"/>
    <x v="31"/>
  </r>
  <r>
    <x v="227"/>
    <x v="212"/>
    <x v="20"/>
    <x v="23"/>
    <x v="26"/>
    <x v="0"/>
    <x v="73"/>
    <x v="0"/>
    <x v="0"/>
    <x v="422"/>
    <x v="0"/>
  </r>
  <r>
    <x v="227"/>
    <x v="212"/>
    <x v="21"/>
    <x v="23"/>
    <x v="26"/>
    <x v="0"/>
    <x v="75"/>
    <x v="0"/>
    <x v="0"/>
    <x v="422"/>
    <x v="84"/>
  </r>
  <r>
    <x v="228"/>
    <x v="213"/>
    <x v="2"/>
    <x v="24"/>
    <x v="24"/>
    <x v="103"/>
    <x v="17"/>
    <x v="334"/>
    <x v="405"/>
    <x v="423"/>
    <x v="85"/>
  </r>
  <r>
    <x v="229"/>
    <x v="214"/>
    <x v="3"/>
    <x v="26"/>
    <x v="27"/>
    <x v="300"/>
    <x v="26"/>
    <x v="335"/>
    <x v="406"/>
    <x v="424"/>
    <x v="19"/>
  </r>
  <r>
    <x v="230"/>
    <x v="215"/>
    <x v="2"/>
    <x v="26"/>
    <x v="27"/>
    <x v="301"/>
    <x v="26"/>
    <x v="336"/>
    <x v="407"/>
    <x v="425"/>
    <x v="31"/>
  </r>
  <r>
    <x v="231"/>
    <x v="216"/>
    <x v="3"/>
    <x v="24"/>
    <x v="24"/>
    <x v="73"/>
    <x v="17"/>
    <x v="337"/>
    <x v="408"/>
    <x v="426"/>
    <x v="61"/>
  </r>
  <r>
    <x v="231"/>
    <x v="216"/>
    <x v="3"/>
    <x v="26"/>
    <x v="27"/>
    <x v="302"/>
    <x v="26"/>
    <x v="338"/>
    <x v="409"/>
    <x v="427"/>
    <x v="19"/>
  </r>
  <r>
    <x v="232"/>
    <x v="217"/>
    <x v="2"/>
    <x v="26"/>
    <x v="27"/>
    <x v="303"/>
    <x v="26"/>
    <x v="339"/>
    <x v="410"/>
    <x v="428"/>
    <x v="31"/>
  </r>
  <r>
    <x v="232"/>
    <x v="217"/>
    <x v="2"/>
    <x v="24"/>
    <x v="24"/>
    <x v="304"/>
    <x v="17"/>
    <x v="340"/>
    <x v="411"/>
    <x v="429"/>
    <x v="85"/>
  </r>
  <r>
    <x v="232"/>
    <x v="217"/>
    <x v="3"/>
    <x v="24"/>
    <x v="24"/>
    <x v="305"/>
    <x v="17"/>
    <x v="341"/>
    <x v="412"/>
    <x v="430"/>
    <x v="61"/>
  </r>
  <r>
    <x v="232"/>
    <x v="217"/>
    <x v="2"/>
    <x v="24"/>
    <x v="24"/>
    <x v="306"/>
    <x v="17"/>
    <x v="342"/>
    <x v="413"/>
    <x v="431"/>
    <x v="85"/>
  </r>
  <r>
    <x v="232"/>
    <x v="217"/>
    <x v="3"/>
    <x v="26"/>
    <x v="27"/>
    <x v="307"/>
    <x v="26"/>
    <x v="343"/>
    <x v="414"/>
    <x v="432"/>
    <x v="19"/>
  </r>
  <r>
    <x v="232"/>
    <x v="217"/>
    <x v="3"/>
    <x v="24"/>
    <x v="24"/>
    <x v="308"/>
    <x v="17"/>
    <x v="344"/>
    <x v="415"/>
    <x v="433"/>
    <x v="61"/>
  </r>
  <r>
    <x v="233"/>
    <x v="218"/>
    <x v="3"/>
    <x v="24"/>
    <x v="24"/>
    <x v="309"/>
    <x v="13"/>
    <x v="345"/>
    <x v="416"/>
    <x v="434"/>
    <x v="73"/>
  </r>
  <r>
    <x v="234"/>
    <x v="219"/>
    <x v="2"/>
    <x v="24"/>
    <x v="24"/>
    <x v="310"/>
    <x v="13"/>
    <x v="346"/>
    <x v="417"/>
    <x v="435"/>
    <x v="61"/>
  </r>
  <r>
    <x v="234"/>
    <x v="219"/>
    <x v="3"/>
    <x v="24"/>
    <x v="24"/>
    <x v="311"/>
    <x v="13"/>
    <x v="347"/>
    <x v="418"/>
    <x v="436"/>
    <x v="73"/>
  </r>
  <r>
    <x v="235"/>
    <x v="220"/>
    <x v="2"/>
    <x v="24"/>
    <x v="24"/>
    <x v="312"/>
    <x v="13"/>
    <x v="348"/>
    <x v="419"/>
    <x v="437"/>
    <x v="61"/>
  </r>
  <r>
    <x v="235"/>
    <x v="220"/>
    <x v="3"/>
    <x v="24"/>
    <x v="24"/>
    <x v="313"/>
    <x v="13"/>
    <x v="349"/>
    <x v="420"/>
    <x v="438"/>
    <x v="73"/>
  </r>
  <r>
    <x v="235"/>
    <x v="220"/>
    <x v="2"/>
    <x v="24"/>
    <x v="24"/>
    <x v="314"/>
    <x v="19"/>
    <x v="350"/>
    <x v="421"/>
    <x v="439"/>
    <x v="85"/>
  </r>
  <r>
    <x v="236"/>
    <x v="221"/>
    <x v="5"/>
    <x v="1"/>
    <x v="1"/>
    <x v="0"/>
    <x v="0"/>
    <x v="0"/>
    <x v="422"/>
    <x v="440"/>
    <x v="0"/>
  </r>
  <r>
    <x v="237"/>
    <x v="222"/>
    <x v="3"/>
    <x v="24"/>
    <x v="24"/>
    <x v="309"/>
    <x v="19"/>
    <x v="351"/>
    <x v="423"/>
    <x v="441"/>
    <x v="73"/>
  </r>
  <r>
    <x v="238"/>
    <x v="223"/>
    <x v="2"/>
    <x v="16"/>
    <x v="16"/>
    <x v="315"/>
    <x v="16"/>
    <x v="352"/>
    <x v="424"/>
    <x v="442"/>
    <x v="28"/>
  </r>
  <r>
    <x v="239"/>
    <x v="224"/>
    <x v="2"/>
    <x v="26"/>
    <x v="27"/>
    <x v="316"/>
    <x v="26"/>
    <x v="353"/>
    <x v="425"/>
    <x v="443"/>
    <x v="31"/>
  </r>
  <r>
    <x v="239"/>
    <x v="224"/>
    <x v="3"/>
    <x v="26"/>
    <x v="27"/>
    <x v="317"/>
    <x v="26"/>
    <x v="354"/>
    <x v="426"/>
    <x v="444"/>
    <x v="19"/>
  </r>
  <r>
    <x v="240"/>
    <x v="225"/>
    <x v="3"/>
    <x v="36"/>
    <x v="37"/>
    <x v="318"/>
    <x v="74"/>
    <x v="355"/>
    <x v="427"/>
    <x v="445"/>
    <x v="35"/>
  </r>
  <r>
    <x v="240"/>
    <x v="225"/>
    <x v="2"/>
    <x v="37"/>
    <x v="38"/>
    <x v="319"/>
    <x v="33"/>
    <x v="356"/>
    <x v="428"/>
    <x v="446"/>
    <x v="8"/>
  </r>
  <r>
    <x v="241"/>
    <x v="226"/>
    <x v="3"/>
    <x v="16"/>
    <x v="16"/>
    <x v="107"/>
    <x v="16"/>
    <x v="124"/>
    <x v="171"/>
    <x v="447"/>
    <x v="0"/>
  </r>
  <r>
    <x v="241"/>
    <x v="226"/>
    <x v="2"/>
    <x v="37"/>
    <x v="38"/>
    <x v="319"/>
    <x v="26"/>
    <x v="357"/>
    <x v="429"/>
    <x v="448"/>
    <x v="27"/>
  </r>
  <r>
    <x v="242"/>
    <x v="226"/>
    <x v="10"/>
    <x v="16"/>
    <x v="16"/>
    <x v="0"/>
    <x v="0"/>
    <x v="358"/>
    <x v="430"/>
    <x v="449"/>
    <x v="0"/>
  </r>
  <r>
    <x v="243"/>
    <x v="227"/>
    <x v="2"/>
    <x v="26"/>
    <x v="27"/>
    <x v="320"/>
    <x v="19"/>
    <x v="359"/>
    <x v="431"/>
    <x v="450"/>
    <x v="38"/>
  </r>
  <r>
    <x v="244"/>
    <x v="228"/>
    <x v="3"/>
    <x v="26"/>
    <x v="27"/>
    <x v="321"/>
    <x v="19"/>
    <x v="360"/>
    <x v="432"/>
    <x v="451"/>
    <x v="19"/>
  </r>
  <r>
    <x v="245"/>
    <x v="229"/>
    <x v="3"/>
    <x v="24"/>
    <x v="24"/>
    <x v="322"/>
    <x v="13"/>
    <x v="361"/>
    <x v="433"/>
    <x v="452"/>
    <x v="34"/>
  </r>
  <r>
    <x v="245"/>
    <x v="229"/>
    <x v="3"/>
    <x v="37"/>
    <x v="38"/>
    <x v="323"/>
    <x v="26"/>
    <x v="362"/>
    <x v="434"/>
    <x v="453"/>
    <x v="8"/>
  </r>
  <r>
    <x v="246"/>
    <x v="230"/>
    <x v="2"/>
    <x v="37"/>
    <x v="38"/>
    <x v="324"/>
    <x v="26"/>
    <x v="363"/>
    <x v="435"/>
    <x v="454"/>
    <x v="27"/>
  </r>
  <r>
    <x v="246"/>
    <x v="230"/>
    <x v="2"/>
    <x v="26"/>
    <x v="27"/>
    <x v="325"/>
    <x v="26"/>
    <x v="51"/>
    <x v="436"/>
    <x v="455"/>
    <x v="31"/>
  </r>
  <r>
    <x v="246"/>
    <x v="230"/>
    <x v="3"/>
    <x v="26"/>
    <x v="27"/>
    <x v="326"/>
    <x v="26"/>
    <x v="364"/>
    <x v="437"/>
    <x v="456"/>
    <x v="19"/>
  </r>
  <r>
    <x v="247"/>
    <x v="231"/>
    <x v="5"/>
    <x v="1"/>
    <x v="1"/>
    <x v="0"/>
    <x v="0"/>
    <x v="0"/>
    <x v="438"/>
    <x v="457"/>
    <x v="0"/>
  </r>
  <r>
    <x v="248"/>
    <x v="232"/>
    <x v="1"/>
    <x v="1"/>
    <x v="1"/>
    <x v="0"/>
    <x v="0"/>
    <x v="0"/>
    <x v="376"/>
    <x v="458"/>
    <x v="0"/>
  </r>
  <r>
    <x v="248"/>
    <x v="232"/>
    <x v="2"/>
    <x v="38"/>
    <x v="39"/>
    <x v="327"/>
    <x v="33"/>
    <x v="365"/>
    <x v="439"/>
    <x v="459"/>
    <x v="8"/>
  </r>
  <r>
    <x v="248"/>
    <x v="232"/>
    <x v="2"/>
    <x v="16"/>
    <x v="16"/>
    <x v="138"/>
    <x v="13"/>
    <x v="366"/>
    <x v="440"/>
    <x v="460"/>
    <x v="11"/>
  </r>
  <r>
    <x v="249"/>
    <x v="232"/>
    <x v="11"/>
    <x v="20"/>
    <x v="20"/>
    <x v="0"/>
    <x v="13"/>
    <x v="0"/>
    <x v="0"/>
    <x v="460"/>
    <x v="0"/>
  </r>
  <r>
    <x v="249"/>
    <x v="232"/>
    <x v="10"/>
    <x v="16"/>
    <x v="16"/>
    <x v="0"/>
    <x v="0"/>
    <x v="367"/>
    <x v="441"/>
    <x v="461"/>
    <x v="0"/>
  </r>
  <r>
    <x v="250"/>
    <x v="233"/>
    <x v="2"/>
    <x v="39"/>
    <x v="40"/>
    <x v="328"/>
    <x v="65"/>
    <x v="368"/>
    <x v="442"/>
    <x v="462"/>
    <x v="20"/>
  </r>
  <r>
    <x v="250"/>
    <x v="233"/>
    <x v="2"/>
    <x v="37"/>
    <x v="38"/>
    <x v="28"/>
    <x v="26"/>
    <x v="369"/>
    <x v="443"/>
    <x v="463"/>
    <x v="86"/>
  </r>
  <r>
    <x v="251"/>
    <x v="234"/>
    <x v="2"/>
    <x v="26"/>
    <x v="27"/>
    <x v="329"/>
    <x v="26"/>
    <x v="370"/>
    <x v="444"/>
    <x v="464"/>
    <x v="31"/>
  </r>
  <r>
    <x v="251"/>
    <x v="234"/>
    <x v="2"/>
    <x v="37"/>
    <x v="38"/>
    <x v="330"/>
    <x v="26"/>
    <x v="371"/>
    <x v="445"/>
    <x v="465"/>
    <x v="87"/>
  </r>
  <r>
    <x v="251"/>
    <x v="234"/>
    <x v="2"/>
    <x v="39"/>
    <x v="40"/>
    <x v="331"/>
    <x v="65"/>
    <x v="372"/>
    <x v="446"/>
    <x v="466"/>
    <x v="73"/>
  </r>
  <r>
    <x v="251"/>
    <x v="234"/>
    <x v="2"/>
    <x v="38"/>
    <x v="39"/>
    <x v="61"/>
    <x v="33"/>
    <x v="373"/>
    <x v="447"/>
    <x v="467"/>
    <x v="88"/>
  </r>
  <r>
    <x v="251"/>
    <x v="234"/>
    <x v="2"/>
    <x v="37"/>
    <x v="38"/>
    <x v="332"/>
    <x v="30"/>
    <x v="374"/>
    <x v="448"/>
    <x v="468"/>
    <x v="89"/>
  </r>
  <r>
    <x v="252"/>
    <x v="235"/>
    <x v="1"/>
    <x v="1"/>
    <x v="1"/>
    <x v="0"/>
    <x v="0"/>
    <x v="0"/>
    <x v="65"/>
    <x v="469"/>
    <x v="0"/>
  </r>
  <r>
    <x v="252"/>
    <x v="235"/>
    <x v="2"/>
    <x v="16"/>
    <x v="16"/>
    <x v="333"/>
    <x v="2"/>
    <x v="375"/>
    <x v="449"/>
    <x v="470"/>
    <x v="2"/>
  </r>
  <r>
    <x v="253"/>
    <x v="235"/>
    <x v="11"/>
    <x v="20"/>
    <x v="20"/>
    <x v="0"/>
    <x v="2"/>
    <x v="0"/>
    <x v="0"/>
    <x v="470"/>
    <x v="0"/>
  </r>
  <r>
    <x v="253"/>
    <x v="235"/>
    <x v="10"/>
    <x v="16"/>
    <x v="16"/>
    <x v="0"/>
    <x v="0"/>
    <x v="376"/>
    <x v="450"/>
    <x v="471"/>
    <x v="0"/>
  </r>
  <r>
    <x v="254"/>
    <x v="236"/>
    <x v="3"/>
    <x v="38"/>
    <x v="39"/>
    <x v="334"/>
    <x v="33"/>
    <x v="377"/>
    <x v="451"/>
    <x v="472"/>
    <x v="8"/>
  </r>
  <r>
    <x v="254"/>
    <x v="236"/>
    <x v="2"/>
    <x v="16"/>
    <x v="16"/>
    <x v="335"/>
    <x v="2"/>
    <x v="378"/>
    <x v="452"/>
    <x v="473"/>
    <x v="2"/>
  </r>
  <r>
    <x v="254"/>
    <x v="236"/>
    <x v="2"/>
    <x v="40"/>
    <x v="41"/>
    <x v="336"/>
    <x v="16"/>
    <x v="379"/>
    <x v="453"/>
    <x v="474"/>
    <x v="28"/>
  </r>
  <r>
    <x v="255"/>
    <x v="236"/>
    <x v="11"/>
    <x v="20"/>
    <x v="20"/>
    <x v="0"/>
    <x v="2"/>
    <x v="0"/>
    <x v="0"/>
    <x v="474"/>
    <x v="0"/>
  </r>
  <r>
    <x v="255"/>
    <x v="237"/>
    <x v="3"/>
    <x v="38"/>
    <x v="39"/>
    <x v="8"/>
    <x v="33"/>
    <x v="380"/>
    <x v="454"/>
    <x v="475"/>
    <x v="0"/>
  </r>
  <r>
    <x v="255"/>
    <x v="237"/>
    <x v="2"/>
    <x v="39"/>
    <x v="40"/>
    <x v="337"/>
    <x v="65"/>
    <x v="381"/>
    <x v="455"/>
    <x v="476"/>
    <x v="62"/>
  </r>
  <r>
    <x v="255"/>
    <x v="237"/>
    <x v="2"/>
    <x v="41"/>
    <x v="42"/>
    <x v="338"/>
    <x v="13"/>
    <x v="382"/>
    <x v="456"/>
    <x v="477"/>
    <x v="11"/>
  </r>
  <r>
    <x v="255"/>
    <x v="236"/>
    <x v="10"/>
    <x v="16"/>
    <x v="16"/>
    <x v="0"/>
    <x v="0"/>
    <x v="383"/>
    <x v="457"/>
    <x v="478"/>
    <x v="0"/>
  </r>
  <r>
    <x v="256"/>
    <x v="238"/>
    <x v="3"/>
    <x v="26"/>
    <x v="27"/>
    <x v="339"/>
    <x v="26"/>
    <x v="384"/>
    <x v="458"/>
    <x v="479"/>
    <x v="19"/>
  </r>
  <r>
    <x v="256"/>
    <x v="238"/>
    <x v="2"/>
    <x v="41"/>
    <x v="42"/>
    <x v="340"/>
    <x v="13"/>
    <x v="385"/>
    <x v="459"/>
    <x v="480"/>
    <x v="19"/>
  </r>
  <r>
    <x v="257"/>
    <x v="239"/>
    <x v="6"/>
    <x v="37"/>
    <x v="38"/>
    <x v="0"/>
    <x v="31"/>
    <x v="386"/>
    <x v="460"/>
    <x v="481"/>
    <x v="0"/>
  </r>
  <r>
    <x v="257"/>
    <x v="239"/>
    <x v="3"/>
    <x v="37"/>
    <x v="38"/>
    <x v="341"/>
    <x v="76"/>
    <x v="387"/>
    <x v="461"/>
    <x v="482"/>
    <x v="35"/>
  </r>
  <r>
    <x v="257"/>
    <x v="239"/>
    <x v="3"/>
    <x v="39"/>
    <x v="40"/>
    <x v="342"/>
    <x v="65"/>
    <x v="388"/>
    <x v="462"/>
    <x v="483"/>
    <x v="73"/>
  </r>
  <r>
    <x v="257"/>
    <x v="239"/>
    <x v="2"/>
    <x v="16"/>
    <x v="16"/>
    <x v="343"/>
    <x v="2"/>
    <x v="389"/>
    <x v="463"/>
    <x v="484"/>
    <x v="2"/>
  </r>
  <r>
    <x v="257"/>
    <x v="239"/>
    <x v="3"/>
    <x v="24"/>
    <x v="24"/>
    <x v="344"/>
    <x v="3"/>
    <x v="390"/>
    <x v="464"/>
    <x v="485"/>
    <x v="38"/>
  </r>
  <r>
    <x v="258"/>
    <x v="239"/>
    <x v="11"/>
    <x v="20"/>
    <x v="20"/>
    <x v="0"/>
    <x v="2"/>
    <x v="0"/>
    <x v="0"/>
    <x v="485"/>
    <x v="0"/>
  </r>
  <r>
    <x v="258"/>
    <x v="239"/>
    <x v="10"/>
    <x v="16"/>
    <x v="16"/>
    <x v="0"/>
    <x v="0"/>
    <x v="391"/>
    <x v="465"/>
    <x v="486"/>
    <x v="0"/>
  </r>
  <r>
    <x v="259"/>
    <x v="240"/>
    <x v="3"/>
    <x v="40"/>
    <x v="41"/>
    <x v="345"/>
    <x v="16"/>
    <x v="392"/>
    <x v="466"/>
    <x v="487"/>
    <x v="0"/>
  </r>
  <r>
    <x v="260"/>
    <x v="241"/>
    <x v="2"/>
    <x v="39"/>
    <x v="40"/>
    <x v="346"/>
    <x v="65"/>
    <x v="341"/>
    <x v="467"/>
    <x v="488"/>
    <x v="62"/>
  </r>
  <r>
    <x v="260"/>
    <x v="241"/>
    <x v="2"/>
    <x v="24"/>
    <x v="24"/>
    <x v="347"/>
    <x v="26"/>
    <x v="393"/>
    <x v="468"/>
    <x v="489"/>
    <x v="90"/>
  </r>
  <r>
    <x v="260"/>
    <x v="241"/>
    <x v="3"/>
    <x v="41"/>
    <x v="42"/>
    <x v="348"/>
    <x v="26"/>
    <x v="394"/>
    <x v="469"/>
    <x v="490"/>
    <x v="0"/>
  </r>
  <r>
    <x v="260"/>
    <x v="241"/>
    <x v="2"/>
    <x v="42"/>
    <x v="43"/>
    <x v="349"/>
    <x v="26"/>
    <x v="395"/>
    <x v="470"/>
    <x v="491"/>
    <x v="19"/>
  </r>
  <r>
    <x v="261"/>
    <x v="242"/>
    <x v="3"/>
    <x v="24"/>
    <x v="24"/>
    <x v="350"/>
    <x v="26"/>
    <x v="396"/>
    <x v="471"/>
    <x v="492"/>
    <x v="38"/>
  </r>
  <r>
    <x v="261"/>
    <x v="242"/>
    <x v="3"/>
    <x v="42"/>
    <x v="43"/>
    <x v="351"/>
    <x v="26"/>
    <x v="397"/>
    <x v="472"/>
    <x v="493"/>
    <x v="0"/>
  </r>
  <r>
    <x v="261"/>
    <x v="242"/>
    <x v="2"/>
    <x v="41"/>
    <x v="42"/>
    <x v="352"/>
    <x v="26"/>
    <x v="398"/>
    <x v="473"/>
    <x v="494"/>
    <x v="19"/>
  </r>
  <r>
    <x v="261"/>
    <x v="242"/>
    <x v="2"/>
    <x v="42"/>
    <x v="43"/>
    <x v="353"/>
    <x v="26"/>
    <x v="399"/>
    <x v="474"/>
    <x v="495"/>
    <x v="19"/>
  </r>
  <r>
    <x v="261"/>
    <x v="242"/>
    <x v="2"/>
    <x v="39"/>
    <x v="40"/>
    <x v="209"/>
    <x v="65"/>
    <x v="400"/>
    <x v="475"/>
    <x v="496"/>
    <x v="91"/>
  </r>
  <r>
    <x v="262"/>
    <x v="243"/>
    <x v="3"/>
    <x v="41"/>
    <x v="42"/>
    <x v="354"/>
    <x v="26"/>
    <x v="401"/>
    <x v="476"/>
    <x v="497"/>
    <x v="0"/>
  </r>
  <r>
    <x v="263"/>
    <x v="244"/>
    <x v="2"/>
    <x v="41"/>
    <x v="42"/>
    <x v="355"/>
    <x v="26"/>
    <x v="402"/>
    <x v="477"/>
    <x v="498"/>
    <x v="19"/>
  </r>
  <r>
    <x v="264"/>
    <x v="245"/>
    <x v="3"/>
    <x v="39"/>
    <x v="40"/>
    <x v="356"/>
    <x v="65"/>
    <x v="403"/>
    <x v="478"/>
    <x v="499"/>
    <x v="62"/>
  </r>
  <r>
    <x v="265"/>
    <x v="246"/>
    <x v="3"/>
    <x v="42"/>
    <x v="43"/>
    <x v="357"/>
    <x v="26"/>
    <x v="404"/>
    <x v="479"/>
    <x v="500"/>
    <x v="0"/>
  </r>
  <r>
    <x v="265"/>
    <x v="246"/>
    <x v="2"/>
    <x v="43"/>
    <x v="44"/>
    <x v="358"/>
    <x v="13"/>
    <x v="405"/>
    <x v="480"/>
    <x v="501"/>
    <x v="11"/>
  </r>
  <r>
    <x v="265"/>
    <x v="246"/>
    <x v="2"/>
    <x v="37"/>
    <x v="38"/>
    <x v="28"/>
    <x v="26"/>
    <x v="369"/>
    <x v="443"/>
    <x v="502"/>
    <x v="91"/>
  </r>
  <r>
    <x v="266"/>
    <x v="247"/>
    <x v="3"/>
    <x v="41"/>
    <x v="42"/>
    <x v="359"/>
    <x v="26"/>
    <x v="406"/>
    <x v="481"/>
    <x v="503"/>
    <x v="0"/>
  </r>
  <r>
    <x v="266"/>
    <x v="247"/>
    <x v="2"/>
    <x v="43"/>
    <x v="44"/>
    <x v="360"/>
    <x v="13"/>
    <x v="407"/>
    <x v="482"/>
    <x v="504"/>
    <x v="19"/>
  </r>
  <r>
    <x v="267"/>
    <x v="248"/>
    <x v="2"/>
    <x v="41"/>
    <x v="42"/>
    <x v="361"/>
    <x v="26"/>
    <x v="408"/>
    <x v="483"/>
    <x v="505"/>
    <x v="19"/>
  </r>
  <r>
    <x v="268"/>
    <x v="249"/>
    <x v="3"/>
    <x v="41"/>
    <x v="42"/>
    <x v="362"/>
    <x v="26"/>
    <x v="409"/>
    <x v="484"/>
    <x v="506"/>
    <x v="0"/>
  </r>
  <r>
    <x v="268"/>
    <x v="249"/>
    <x v="2"/>
    <x v="43"/>
    <x v="44"/>
    <x v="363"/>
    <x v="13"/>
    <x v="410"/>
    <x v="485"/>
    <x v="507"/>
    <x v="20"/>
  </r>
  <r>
    <x v="269"/>
    <x v="250"/>
    <x v="3"/>
    <x v="39"/>
    <x v="40"/>
    <x v="364"/>
    <x v="77"/>
    <x v="411"/>
    <x v="486"/>
    <x v="508"/>
    <x v="0"/>
  </r>
  <r>
    <x v="269"/>
    <x v="250"/>
    <x v="2"/>
    <x v="37"/>
    <x v="38"/>
    <x v="365"/>
    <x v="26"/>
    <x v="412"/>
    <x v="487"/>
    <x v="509"/>
    <x v="92"/>
  </r>
  <r>
    <x v="269"/>
    <x v="250"/>
    <x v="2"/>
    <x v="43"/>
    <x v="44"/>
    <x v="366"/>
    <x v="13"/>
    <x v="413"/>
    <x v="488"/>
    <x v="510"/>
    <x v="31"/>
  </r>
  <r>
    <x v="270"/>
    <x v="251"/>
    <x v="2"/>
    <x v="43"/>
    <x v="44"/>
    <x v="367"/>
    <x v="13"/>
    <x v="414"/>
    <x v="489"/>
    <x v="511"/>
    <x v="34"/>
  </r>
  <r>
    <x v="270"/>
    <x v="251"/>
    <x v="2"/>
    <x v="43"/>
    <x v="44"/>
    <x v="368"/>
    <x v="13"/>
    <x v="415"/>
    <x v="490"/>
    <x v="512"/>
    <x v="73"/>
  </r>
  <r>
    <x v="271"/>
    <x v="252"/>
    <x v="3"/>
    <x v="37"/>
    <x v="38"/>
    <x v="369"/>
    <x v="62"/>
    <x v="416"/>
    <x v="491"/>
    <x v="513"/>
    <x v="35"/>
  </r>
  <r>
    <x v="271"/>
    <x v="252"/>
    <x v="2"/>
    <x v="43"/>
    <x v="44"/>
    <x v="370"/>
    <x v="13"/>
    <x v="417"/>
    <x v="492"/>
    <x v="514"/>
    <x v="61"/>
  </r>
  <r>
    <x v="271"/>
    <x v="252"/>
    <x v="3"/>
    <x v="43"/>
    <x v="44"/>
    <x v="371"/>
    <x v="65"/>
    <x v="418"/>
    <x v="493"/>
    <x v="515"/>
    <x v="31"/>
  </r>
  <r>
    <x v="271"/>
    <x v="252"/>
    <x v="2"/>
    <x v="26"/>
    <x v="27"/>
    <x v="372"/>
    <x v="26"/>
    <x v="419"/>
    <x v="494"/>
    <x v="516"/>
    <x v="31"/>
  </r>
  <r>
    <x v="271"/>
    <x v="252"/>
    <x v="2"/>
    <x v="44"/>
    <x v="45"/>
    <x v="373"/>
    <x v="65"/>
    <x v="420"/>
    <x v="495"/>
    <x v="517"/>
    <x v="20"/>
  </r>
  <r>
    <x v="272"/>
    <x v="253"/>
    <x v="9"/>
    <x v="37"/>
    <x v="38"/>
    <x v="0"/>
    <x v="0"/>
    <x v="0"/>
    <x v="496"/>
    <x v="518"/>
    <x v="0"/>
  </r>
  <r>
    <x v="272"/>
    <x v="253"/>
    <x v="9"/>
    <x v="37"/>
    <x v="38"/>
    <x v="0"/>
    <x v="0"/>
    <x v="0"/>
    <x v="497"/>
    <x v="519"/>
    <x v="0"/>
  </r>
  <r>
    <x v="272"/>
    <x v="253"/>
    <x v="9"/>
    <x v="37"/>
    <x v="38"/>
    <x v="0"/>
    <x v="0"/>
    <x v="0"/>
    <x v="496"/>
    <x v="520"/>
    <x v="0"/>
  </r>
  <r>
    <x v="273"/>
    <x v="254"/>
    <x v="3"/>
    <x v="26"/>
    <x v="27"/>
    <x v="374"/>
    <x v="26"/>
    <x v="421"/>
    <x v="498"/>
    <x v="521"/>
    <x v="19"/>
  </r>
  <r>
    <x v="273"/>
    <x v="254"/>
    <x v="3"/>
    <x v="44"/>
    <x v="45"/>
    <x v="22"/>
    <x v="65"/>
    <x v="422"/>
    <x v="499"/>
    <x v="522"/>
    <x v="0"/>
  </r>
  <r>
    <x v="273"/>
    <x v="254"/>
    <x v="2"/>
    <x v="26"/>
    <x v="27"/>
    <x v="375"/>
    <x v="26"/>
    <x v="423"/>
    <x v="500"/>
    <x v="523"/>
    <x v="31"/>
  </r>
  <r>
    <x v="273"/>
    <x v="254"/>
    <x v="2"/>
    <x v="39"/>
    <x v="40"/>
    <x v="277"/>
    <x v="65"/>
    <x v="424"/>
    <x v="501"/>
    <x v="524"/>
    <x v="20"/>
  </r>
  <r>
    <x v="274"/>
    <x v="255"/>
    <x v="2"/>
    <x v="24"/>
    <x v="24"/>
    <x v="376"/>
    <x v="3"/>
    <x v="425"/>
    <x v="502"/>
    <x v="525"/>
    <x v="34"/>
  </r>
  <r>
    <x v="275"/>
    <x v="256"/>
    <x v="3"/>
    <x v="26"/>
    <x v="27"/>
    <x v="377"/>
    <x v="26"/>
    <x v="426"/>
    <x v="503"/>
    <x v="526"/>
    <x v="19"/>
  </r>
  <r>
    <x v="275"/>
    <x v="256"/>
    <x v="3"/>
    <x v="39"/>
    <x v="40"/>
    <x v="364"/>
    <x v="65"/>
    <x v="427"/>
    <x v="504"/>
    <x v="527"/>
    <x v="0"/>
  </r>
  <r>
    <x v="276"/>
    <x v="257"/>
    <x v="3"/>
    <x v="24"/>
    <x v="24"/>
    <x v="378"/>
    <x v="3"/>
    <x v="428"/>
    <x v="505"/>
    <x v="528"/>
    <x v="38"/>
  </r>
  <r>
    <x v="277"/>
    <x v="258"/>
    <x v="2"/>
    <x v="39"/>
    <x v="40"/>
    <x v="237"/>
    <x v="31"/>
    <x v="429"/>
    <x v="506"/>
    <x v="529"/>
    <x v="35"/>
  </r>
  <r>
    <x v="278"/>
    <x v="259"/>
    <x v="3"/>
    <x v="39"/>
    <x v="40"/>
    <x v="379"/>
    <x v="31"/>
    <x v="430"/>
    <x v="507"/>
    <x v="530"/>
    <x v="0"/>
  </r>
  <r>
    <x v="278"/>
    <x v="259"/>
    <x v="2"/>
    <x v="16"/>
    <x v="16"/>
    <x v="380"/>
    <x v="2"/>
    <x v="431"/>
    <x v="508"/>
    <x v="531"/>
    <x v="2"/>
  </r>
  <r>
    <x v="278"/>
    <x v="259"/>
    <x v="2"/>
    <x v="16"/>
    <x v="16"/>
    <x v="380"/>
    <x v="11"/>
    <x v="432"/>
    <x v="509"/>
    <x v="532"/>
    <x v="3"/>
  </r>
  <r>
    <x v="279"/>
    <x v="260"/>
    <x v="2"/>
    <x v="37"/>
    <x v="38"/>
    <x v="381"/>
    <x v="26"/>
    <x v="433"/>
    <x v="510"/>
    <x v="533"/>
    <x v="91"/>
  </r>
  <r>
    <x v="280"/>
    <x v="261"/>
    <x v="3"/>
    <x v="37"/>
    <x v="38"/>
    <x v="13"/>
    <x v="26"/>
    <x v="434"/>
    <x v="511"/>
    <x v="534"/>
    <x v="35"/>
  </r>
  <r>
    <x v="281"/>
    <x v="97"/>
    <x v="9"/>
    <x v="37"/>
    <x v="38"/>
    <x v="0"/>
    <x v="0"/>
    <x v="0"/>
    <x v="497"/>
    <x v="535"/>
    <x v="0"/>
  </r>
  <r>
    <x v="281"/>
    <x v="262"/>
    <x v="2"/>
    <x v="45"/>
    <x v="46"/>
    <x v="382"/>
    <x v="3"/>
    <x v="435"/>
    <x v="512"/>
    <x v="536"/>
    <x v="3"/>
  </r>
  <r>
    <x v="282"/>
    <x v="263"/>
    <x v="2"/>
    <x v="37"/>
    <x v="38"/>
    <x v="383"/>
    <x v="26"/>
    <x v="436"/>
    <x v="513"/>
    <x v="537"/>
    <x v="91"/>
  </r>
  <r>
    <x v="283"/>
    <x v="264"/>
    <x v="3"/>
    <x v="37"/>
    <x v="38"/>
    <x v="384"/>
    <x v="31"/>
    <x v="437"/>
    <x v="514"/>
    <x v="538"/>
    <x v="19"/>
  </r>
  <r>
    <x v="284"/>
    <x v="97"/>
    <x v="9"/>
    <x v="37"/>
    <x v="38"/>
    <x v="0"/>
    <x v="0"/>
    <x v="0"/>
    <x v="515"/>
    <x v="539"/>
    <x v="0"/>
  </r>
  <r>
    <x v="284"/>
    <x v="265"/>
    <x v="4"/>
    <x v="1"/>
    <x v="1"/>
    <x v="0"/>
    <x v="0"/>
    <x v="0"/>
    <x v="516"/>
    <x v="0"/>
    <x v="0"/>
  </r>
  <r>
    <x v="285"/>
    <x v="266"/>
    <x v="1"/>
    <x v="1"/>
    <x v="1"/>
    <x v="0"/>
    <x v="0"/>
    <x v="0"/>
    <x v="517"/>
    <x v="540"/>
    <x v="0"/>
  </r>
  <r>
    <x v="286"/>
    <x v="267"/>
    <x v="6"/>
    <x v="24"/>
    <x v="24"/>
    <x v="0"/>
    <x v="78"/>
    <x v="438"/>
    <x v="518"/>
    <x v="541"/>
    <x v="0"/>
  </r>
  <r>
    <x v="286"/>
    <x v="267"/>
    <x v="3"/>
    <x v="16"/>
    <x v="16"/>
    <x v="385"/>
    <x v="3"/>
    <x v="439"/>
    <x v="519"/>
    <x v="542"/>
    <x v="0"/>
  </r>
  <r>
    <x v="286"/>
    <x v="267"/>
    <x v="2"/>
    <x v="37"/>
    <x v="38"/>
    <x v="386"/>
    <x v="65"/>
    <x v="440"/>
    <x v="520"/>
    <x v="543"/>
    <x v="34"/>
  </r>
  <r>
    <x v="287"/>
    <x v="268"/>
    <x v="22"/>
    <x v="24"/>
    <x v="47"/>
    <x v="0"/>
    <x v="79"/>
    <x v="0"/>
    <x v="0"/>
    <x v="543"/>
    <x v="93"/>
  </r>
  <r>
    <x v="287"/>
    <x v="268"/>
    <x v="2"/>
    <x v="46"/>
    <x v="48"/>
    <x v="387"/>
    <x v="13"/>
    <x v="441"/>
    <x v="521"/>
    <x v="544"/>
    <x v="11"/>
  </r>
  <r>
    <x v="287"/>
    <x v="267"/>
    <x v="10"/>
    <x v="16"/>
    <x v="16"/>
    <x v="0"/>
    <x v="0"/>
    <x v="442"/>
    <x v="522"/>
    <x v="545"/>
    <x v="0"/>
  </r>
  <r>
    <x v="288"/>
    <x v="269"/>
    <x v="2"/>
    <x v="37"/>
    <x v="38"/>
    <x v="388"/>
    <x v="26"/>
    <x v="443"/>
    <x v="523"/>
    <x v="546"/>
    <x v="61"/>
  </r>
  <r>
    <x v="288"/>
    <x v="269"/>
    <x v="3"/>
    <x v="46"/>
    <x v="48"/>
    <x v="389"/>
    <x v="13"/>
    <x v="444"/>
    <x v="524"/>
    <x v="547"/>
    <x v="0"/>
  </r>
  <r>
    <x v="289"/>
    <x v="270"/>
    <x v="2"/>
    <x v="47"/>
    <x v="49"/>
    <x v="390"/>
    <x v="17"/>
    <x v="445"/>
    <x v="525"/>
    <x v="548"/>
    <x v="18"/>
  </r>
  <r>
    <x v="290"/>
    <x v="271"/>
    <x v="3"/>
    <x v="45"/>
    <x v="46"/>
    <x v="391"/>
    <x v="3"/>
    <x v="446"/>
    <x v="526"/>
    <x v="549"/>
    <x v="0"/>
  </r>
  <r>
    <x v="290"/>
    <x v="271"/>
    <x v="3"/>
    <x v="47"/>
    <x v="49"/>
    <x v="392"/>
    <x v="17"/>
    <x v="447"/>
    <x v="527"/>
    <x v="550"/>
    <x v="0"/>
  </r>
  <r>
    <x v="290"/>
    <x v="271"/>
    <x v="2"/>
    <x v="37"/>
    <x v="38"/>
    <x v="311"/>
    <x v="26"/>
    <x v="448"/>
    <x v="528"/>
    <x v="551"/>
    <x v="62"/>
  </r>
  <r>
    <x v="290"/>
    <x v="271"/>
    <x v="2"/>
    <x v="24"/>
    <x v="24"/>
    <x v="393"/>
    <x v="80"/>
    <x v="449"/>
    <x v="529"/>
    <x v="552"/>
    <x v="94"/>
  </r>
  <r>
    <x v="291"/>
    <x v="272"/>
    <x v="3"/>
    <x v="37"/>
    <x v="38"/>
    <x v="394"/>
    <x v="26"/>
    <x v="450"/>
    <x v="530"/>
    <x v="553"/>
    <x v="61"/>
  </r>
  <r>
    <x v="291"/>
    <x v="272"/>
    <x v="3"/>
    <x v="24"/>
    <x v="24"/>
    <x v="395"/>
    <x v="80"/>
    <x v="451"/>
    <x v="531"/>
    <x v="554"/>
    <x v="93"/>
  </r>
  <r>
    <x v="292"/>
    <x v="97"/>
    <x v="9"/>
    <x v="24"/>
    <x v="24"/>
    <x v="0"/>
    <x v="0"/>
    <x v="0"/>
    <x v="532"/>
    <x v="555"/>
    <x v="0"/>
  </r>
  <r>
    <x v="292"/>
    <x v="97"/>
    <x v="9"/>
    <x v="24"/>
    <x v="24"/>
    <x v="0"/>
    <x v="0"/>
    <x v="0"/>
    <x v="533"/>
    <x v="556"/>
    <x v="0"/>
  </r>
  <r>
    <x v="293"/>
    <x v="273"/>
    <x v="2"/>
    <x v="37"/>
    <x v="38"/>
    <x v="145"/>
    <x v="26"/>
    <x v="452"/>
    <x v="534"/>
    <x v="557"/>
    <x v="62"/>
  </r>
  <r>
    <x v="294"/>
    <x v="274"/>
    <x v="2"/>
    <x v="26"/>
    <x v="27"/>
    <x v="396"/>
    <x v="34"/>
    <x v="453"/>
    <x v="535"/>
    <x v="558"/>
    <x v="95"/>
  </r>
  <r>
    <x v="295"/>
    <x v="275"/>
    <x v="5"/>
    <x v="1"/>
    <x v="1"/>
    <x v="0"/>
    <x v="0"/>
    <x v="0"/>
    <x v="536"/>
    <x v="559"/>
    <x v="0"/>
  </r>
  <r>
    <x v="296"/>
    <x v="276"/>
    <x v="3"/>
    <x v="26"/>
    <x v="27"/>
    <x v="397"/>
    <x v="34"/>
    <x v="454"/>
    <x v="537"/>
    <x v="560"/>
    <x v="19"/>
  </r>
  <r>
    <x v="296"/>
    <x v="276"/>
    <x v="2"/>
    <x v="24"/>
    <x v="24"/>
    <x v="398"/>
    <x v="65"/>
    <x v="145"/>
    <x v="538"/>
    <x v="561"/>
    <x v="96"/>
  </r>
  <r>
    <x v="297"/>
    <x v="277"/>
    <x v="1"/>
    <x v="1"/>
    <x v="1"/>
    <x v="0"/>
    <x v="0"/>
    <x v="0"/>
    <x v="289"/>
    <x v="562"/>
    <x v="0"/>
  </r>
  <r>
    <x v="297"/>
    <x v="277"/>
    <x v="2"/>
    <x v="37"/>
    <x v="38"/>
    <x v="399"/>
    <x v="62"/>
    <x v="455"/>
    <x v="539"/>
    <x v="563"/>
    <x v="97"/>
  </r>
  <r>
    <x v="298"/>
    <x v="278"/>
    <x v="3"/>
    <x v="37"/>
    <x v="38"/>
    <x v="400"/>
    <x v="62"/>
    <x v="456"/>
    <x v="540"/>
    <x v="564"/>
    <x v="62"/>
  </r>
  <r>
    <x v="298"/>
    <x v="278"/>
    <x v="2"/>
    <x v="37"/>
    <x v="38"/>
    <x v="401"/>
    <x v="62"/>
    <x v="457"/>
    <x v="541"/>
    <x v="565"/>
    <x v="97"/>
  </r>
  <r>
    <x v="299"/>
    <x v="279"/>
    <x v="3"/>
    <x v="26"/>
    <x v="27"/>
    <x v="402"/>
    <x v="26"/>
    <x v="458"/>
    <x v="542"/>
    <x v="566"/>
    <x v="0"/>
  </r>
  <r>
    <x v="300"/>
    <x v="280"/>
    <x v="3"/>
    <x v="24"/>
    <x v="24"/>
    <x v="403"/>
    <x v="65"/>
    <x v="459"/>
    <x v="543"/>
    <x v="567"/>
    <x v="93"/>
  </r>
  <r>
    <x v="300"/>
    <x v="280"/>
    <x v="2"/>
    <x v="16"/>
    <x v="16"/>
    <x v="404"/>
    <x v="16"/>
    <x v="460"/>
    <x v="544"/>
    <x v="568"/>
    <x v="28"/>
  </r>
  <r>
    <x v="301"/>
    <x v="97"/>
    <x v="9"/>
    <x v="24"/>
    <x v="24"/>
    <x v="0"/>
    <x v="0"/>
    <x v="0"/>
    <x v="545"/>
    <x v="569"/>
    <x v="0"/>
  </r>
  <r>
    <x v="301"/>
    <x v="97"/>
    <x v="9"/>
    <x v="24"/>
    <x v="24"/>
    <x v="0"/>
    <x v="0"/>
    <x v="0"/>
    <x v="316"/>
    <x v="570"/>
    <x v="0"/>
  </r>
  <r>
    <x v="302"/>
    <x v="281"/>
    <x v="11"/>
    <x v="20"/>
    <x v="20"/>
    <x v="0"/>
    <x v="16"/>
    <x v="0"/>
    <x v="0"/>
    <x v="570"/>
    <x v="0"/>
  </r>
  <r>
    <x v="302"/>
    <x v="281"/>
    <x v="10"/>
    <x v="16"/>
    <x v="16"/>
    <x v="0"/>
    <x v="0"/>
    <x v="461"/>
    <x v="546"/>
    <x v="571"/>
    <x v="0"/>
  </r>
  <r>
    <x v="303"/>
    <x v="282"/>
    <x v="3"/>
    <x v="37"/>
    <x v="38"/>
    <x v="399"/>
    <x v="81"/>
    <x v="462"/>
    <x v="547"/>
    <x v="572"/>
    <x v="0"/>
  </r>
  <r>
    <x v="304"/>
    <x v="283"/>
    <x v="2"/>
    <x v="37"/>
    <x v="38"/>
    <x v="193"/>
    <x v="26"/>
    <x v="463"/>
    <x v="548"/>
    <x v="573"/>
    <x v="19"/>
  </r>
  <r>
    <x v="305"/>
    <x v="284"/>
    <x v="2"/>
    <x v="37"/>
    <x v="38"/>
    <x v="405"/>
    <x v="19"/>
    <x v="464"/>
    <x v="549"/>
    <x v="574"/>
    <x v="38"/>
  </r>
  <r>
    <x v="305"/>
    <x v="284"/>
    <x v="3"/>
    <x v="37"/>
    <x v="38"/>
    <x v="399"/>
    <x v="26"/>
    <x v="465"/>
    <x v="550"/>
    <x v="575"/>
    <x v="21"/>
  </r>
  <r>
    <x v="305"/>
    <x v="284"/>
    <x v="2"/>
    <x v="37"/>
    <x v="38"/>
    <x v="405"/>
    <x v="19"/>
    <x v="464"/>
    <x v="549"/>
    <x v="576"/>
    <x v="34"/>
  </r>
  <r>
    <x v="306"/>
    <x v="285"/>
    <x v="2"/>
    <x v="26"/>
    <x v="27"/>
    <x v="406"/>
    <x v="19"/>
    <x v="466"/>
    <x v="551"/>
    <x v="577"/>
    <x v="21"/>
  </r>
  <r>
    <x v="306"/>
    <x v="285"/>
    <x v="2"/>
    <x v="37"/>
    <x v="38"/>
    <x v="407"/>
    <x v="19"/>
    <x v="467"/>
    <x v="552"/>
    <x v="578"/>
    <x v="37"/>
  </r>
  <r>
    <x v="307"/>
    <x v="286"/>
    <x v="1"/>
    <x v="1"/>
    <x v="1"/>
    <x v="0"/>
    <x v="0"/>
    <x v="0"/>
    <x v="553"/>
    <x v="579"/>
    <x v="0"/>
  </r>
  <r>
    <x v="307"/>
    <x v="286"/>
    <x v="2"/>
    <x v="48"/>
    <x v="50"/>
    <x v="408"/>
    <x v="82"/>
    <x v="468"/>
    <x v="554"/>
    <x v="580"/>
    <x v="98"/>
  </r>
  <r>
    <x v="307"/>
    <x v="286"/>
    <x v="2"/>
    <x v="48"/>
    <x v="50"/>
    <x v="409"/>
    <x v="83"/>
    <x v="469"/>
    <x v="555"/>
    <x v="581"/>
    <x v="99"/>
  </r>
  <r>
    <x v="307"/>
    <x v="286"/>
    <x v="3"/>
    <x v="26"/>
    <x v="27"/>
    <x v="410"/>
    <x v="19"/>
    <x v="470"/>
    <x v="556"/>
    <x v="582"/>
    <x v="0"/>
  </r>
  <r>
    <x v="307"/>
    <x v="286"/>
    <x v="3"/>
    <x v="37"/>
    <x v="38"/>
    <x v="411"/>
    <x v="19"/>
    <x v="471"/>
    <x v="557"/>
    <x v="583"/>
    <x v="34"/>
  </r>
  <r>
    <x v="308"/>
    <x v="287"/>
    <x v="3"/>
    <x v="48"/>
    <x v="50"/>
    <x v="412"/>
    <x v="84"/>
    <x v="472"/>
    <x v="558"/>
    <x v="584"/>
    <x v="72"/>
  </r>
  <r>
    <x v="308"/>
    <x v="287"/>
    <x v="3"/>
    <x v="48"/>
    <x v="50"/>
    <x v="413"/>
    <x v="60"/>
    <x v="473"/>
    <x v="559"/>
    <x v="585"/>
    <x v="0"/>
  </r>
  <r>
    <x v="308"/>
    <x v="287"/>
    <x v="2"/>
    <x v="16"/>
    <x v="16"/>
    <x v="414"/>
    <x v="18"/>
    <x v="474"/>
    <x v="560"/>
    <x v="586"/>
    <x v="100"/>
  </r>
  <r>
    <x v="309"/>
    <x v="288"/>
    <x v="1"/>
    <x v="1"/>
    <x v="1"/>
    <x v="0"/>
    <x v="0"/>
    <x v="0"/>
    <x v="561"/>
    <x v="587"/>
    <x v="0"/>
  </r>
  <r>
    <x v="309"/>
    <x v="288"/>
    <x v="23"/>
    <x v="49"/>
    <x v="51"/>
    <x v="0"/>
    <x v="0"/>
    <x v="0"/>
    <x v="562"/>
    <x v="588"/>
    <x v="0"/>
  </r>
  <r>
    <x v="309"/>
    <x v="288"/>
    <x v="3"/>
    <x v="37"/>
    <x v="38"/>
    <x v="323"/>
    <x v="30"/>
    <x v="475"/>
    <x v="563"/>
    <x v="589"/>
    <x v="0"/>
  </r>
  <r>
    <x v="310"/>
    <x v="289"/>
    <x v="24"/>
    <x v="49"/>
    <x v="51"/>
    <x v="0"/>
    <x v="85"/>
    <x v="0"/>
    <x v="564"/>
    <x v="590"/>
    <x v="0"/>
  </r>
  <r>
    <x v="310"/>
    <x v="288"/>
    <x v="11"/>
    <x v="20"/>
    <x v="20"/>
    <x v="0"/>
    <x v="18"/>
    <x v="0"/>
    <x v="0"/>
    <x v="590"/>
    <x v="0"/>
  </r>
  <r>
    <x v="310"/>
    <x v="289"/>
    <x v="2"/>
    <x v="48"/>
    <x v="50"/>
    <x v="415"/>
    <x v="31"/>
    <x v="476"/>
    <x v="565"/>
    <x v="589"/>
    <x v="35"/>
  </r>
  <r>
    <x v="310"/>
    <x v="288"/>
    <x v="10"/>
    <x v="16"/>
    <x v="16"/>
    <x v="0"/>
    <x v="0"/>
    <x v="477"/>
    <x v="566"/>
    <x v="591"/>
    <x v="0"/>
  </r>
  <r>
    <x v="311"/>
    <x v="290"/>
    <x v="4"/>
    <x v="1"/>
    <x v="1"/>
    <x v="0"/>
    <x v="0"/>
    <x v="0"/>
    <x v="567"/>
    <x v="592"/>
    <x v="0"/>
  </r>
  <r>
    <x v="311"/>
    <x v="290"/>
    <x v="23"/>
    <x v="49"/>
    <x v="51"/>
    <x v="0"/>
    <x v="0"/>
    <x v="0"/>
    <x v="568"/>
    <x v="593"/>
    <x v="0"/>
  </r>
  <r>
    <x v="311"/>
    <x v="290"/>
    <x v="3"/>
    <x v="48"/>
    <x v="50"/>
    <x v="416"/>
    <x v="31"/>
    <x v="478"/>
    <x v="569"/>
    <x v="594"/>
    <x v="0"/>
  </r>
  <r>
    <x v="311"/>
    <x v="290"/>
    <x v="2"/>
    <x v="50"/>
    <x v="52"/>
    <x v="417"/>
    <x v="3"/>
    <x v="479"/>
    <x v="570"/>
    <x v="589"/>
    <x v="3"/>
  </r>
  <r>
    <x v="312"/>
    <x v="291"/>
    <x v="24"/>
    <x v="49"/>
    <x v="51"/>
    <x v="0"/>
    <x v="86"/>
    <x v="0"/>
    <x v="571"/>
    <x v="595"/>
    <x v="0"/>
  </r>
  <r>
    <x v="312"/>
    <x v="291"/>
    <x v="2"/>
    <x v="43"/>
    <x v="44"/>
    <x v="370"/>
    <x v="26"/>
    <x v="480"/>
    <x v="572"/>
    <x v="596"/>
    <x v="73"/>
  </r>
  <r>
    <x v="312"/>
    <x v="291"/>
    <x v="2"/>
    <x v="51"/>
    <x v="53"/>
    <x v="418"/>
    <x v="87"/>
    <x v="481"/>
    <x v="573"/>
    <x v="597"/>
    <x v="101"/>
  </r>
  <r>
    <x v="312"/>
    <x v="291"/>
    <x v="3"/>
    <x v="43"/>
    <x v="44"/>
    <x v="419"/>
    <x v="62"/>
    <x v="263"/>
    <x v="574"/>
    <x v="598"/>
    <x v="19"/>
  </r>
  <r>
    <x v="312"/>
    <x v="291"/>
    <x v="2"/>
    <x v="44"/>
    <x v="45"/>
    <x v="42"/>
    <x v="31"/>
    <x v="482"/>
    <x v="575"/>
    <x v="589"/>
    <x v="35"/>
  </r>
  <r>
    <x v="313"/>
    <x v="292"/>
    <x v="24"/>
    <x v="49"/>
    <x v="51"/>
    <x v="0"/>
    <x v="88"/>
    <x v="0"/>
    <x v="576"/>
    <x v="599"/>
    <x v="0"/>
  </r>
  <r>
    <x v="313"/>
    <x v="292"/>
    <x v="3"/>
    <x v="44"/>
    <x v="45"/>
    <x v="120"/>
    <x v="65"/>
    <x v="483"/>
    <x v="577"/>
    <x v="600"/>
    <x v="61"/>
  </r>
  <r>
    <x v="313"/>
    <x v="292"/>
    <x v="2"/>
    <x v="37"/>
    <x v="38"/>
    <x v="323"/>
    <x v="89"/>
    <x v="484"/>
    <x v="578"/>
    <x v="601"/>
    <x v="102"/>
  </r>
  <r>
    <x v="313"/>
    <x v="292"/>
    <x v="3"/>
    <x v="44"/>
    <x v="45"/>
    <x v="83"/>
    <x v="59"/>
    <x v="418"/>
    <x v="579"/>
    <x v="602"/>
    <x v="0"/>
  </r>
  <r>
    <x v="313"/>
    <x v="292"/>
    <x v="2"/>
    <x v="48"/>
    <x v="50"/>
    <x v="420"/>
    <x v="31"/>
    <x v="485"/>
    <x v="580"/>
    <x v="589"/>
    <x v="35"/>
  </r>
  <r>
    <x v="314"/>
    <x v="293"/>
    <x v="24"/>
    <x v="49"/>
    <x v="51"/>
    <x v="0"/>
    <x v="90"/>
    <x v="0"/>
    <x v="581"/>
    <x v="603"/>
    <x v="0"/>
  </r>
  <r>
    <x v="314"/>
    <x v="293"/>
    <x v="3"/>
    <x v="48"/>
    <x v="50"/>
    <x v="421"/>
    <x v="31"/>
    <x v="486"/>
    <x v="582"/>
    <x v="604"/>
    <x v="0"/>
  </r>
  <r>
    <x v="314"/>
    <x v="293"/>
    <x v="2"/>
    <x v="43"/>
    <x v="44"/>
    <x v="422"/>
    <x v="26"/>
    <x v="487"/>
    <x v="583"/>
    <x v="589"/>
    <x v="31"/>
  </r>
  <r>
    <x v="315"/>
    <x v="294"/>
    <x v="23"/>
    <x v="49"/>
    <x v="51"/>
    <x v="0"/>
    <x v="0"/>
    <x v="0"/>
    <x v="584"/>
    <x v="605"/>
    <x v="0"/>
  </r>
  <r>
    <x v="315"/>
    <x v="294"/>
    <x v="2"/>
    <x v="50"/>
    <x v="52"/>
    <x v="423"/>
    <x v="3"/>
    <x v="488"/>
    <x v="585"/>
    <x v="606"/>
    <x v="11"/>
  </r>
  <r>
    <x v="315"/>
    <x v="294"/>
    <x v="3"/>
    <x v="37"/>
    <x v="38"/>
    <x v="314"/>
    <x v="89"/>
    <x v="489"/>
    <x v="586"/>
    <x v="607"/>
    <x v="0"/>
  </r>
  <r>
    <x v="315"/>
    <x v="294"/>
    <x v="2"/>
    <x v="22"/>
    <x v="22"/>
    <x v="424"/>
    <x v="31"/>
    <x v="490"/>
    <x v="587"/>
    <x v="589"/>
    <x v="35"/>
  </r>
  <r>
    <x v="316"/>
    <x v="295"/>
    <x v="24"/>
    <x v="49"/>
    <x v="51"/>
    <x v="0"/>
    <x v="91"/>
    <x v="0"/>
    <x v="588"/>
    <x v="608"/>
    <x v="0"/>
  </r>
  <r>
    <x v="316"/>
    <x v="295"/>
    <x v="3"/>
    <x v="22"/>
    <x v="22"/>
    <x v="425"/>
    <x v="31"/>
    <x v="491"/>
    <x v="589"/>
    <x v="609"/>
    <x v="0"/>
  </r>
  <r>
    <x v="316"/>
    <x v="295"/>
    <x v="2"/>
    <x v="48"/>
    <x v="50"/>
    <x v="426"/>
    <x v="31"/>
    <x v="492"/>
    <x v="590"/>
    <x v="610"/>
    <x v="35"/>
  </r>
  <r>
    <x v="316"/>
    <x v="295"/>
    <x v="2"/>
    <x v="48"/>
    <x v="50"/>
    <x v="427"/>
    <x v="31"/>
    <x v="493"/>
    <x v="591"/>
    <x v="589"/>
    <x v="75"/>
  </r>
  <r>
    <x v="317"/>
    <x v="296"/>
    <x v="24"/>
    <x v="49"/>
    <x v="51"/>
    <x v="0"/>
    <x v="92"/>
    <x v="0"/>
    <x v="592"/>
    <x v="611"/>
    <x v="0"/>
  </r>
  <r>
    <x v="317"/>
    <x v="296"/>
    <x v="2"/>
    <x v="37"/>
    <x v="38"/>
    <x v="74"/>
    <x v="19"/>
    <x v="494"/>
    <x v="593"/>
    <x v="612"/>
    <x v="21"/>
  </r>
  <r>
    <x v="317"/>
    <x v="296"/>
    <x v="3"/>
    <x v="48"/>
    <x v="50"/>
    <x v="428"/>
    <x v="67"/>
    <x v="495"/>
    <x v="594"/>
    <x v="613"/>
    <x v="0"/>
  </r>
  <r>
    <x v="317"/>
    <x v="296"/>
    <x v="2"/>
    <x v="51"/>
    <x v="53"/>
    <x v="113"/>
    <x v="87"/>
    <x v="496"/>
    <x v="595"/>
    <x v="589"/>
    <x v="56"/>
  </r>
  <r>
    <x v="318"/>
    <x v="297"/>
    <x v="23"/>
    <x v="49"/>
    <x v="51"/>
    <x v="0"/>
    <x v="0"/>
    <x v="0"/>
    <x v="596"/>
    <x v="614"/>
    <x v="0"/>
  </r>
  <r>
    <x v="318"/>
    <x v="297"/>
    <x v="3"/>
    <x v="37"/>
    <x v="38"/>
    <x v="429"/>
    <x v="19"/>
    <x v="497"/>
    <x v="597"/>
    <x v="615"/>
    <x v="0"/>
  </r>
  <r>
    <x v="318"/>
    <x v="297"/>
    <x v="2"/>
    <x v="43"/>
    <x v="44"/>
    <x v="84"/>
    <x v="13"/>
    <x v="498"/>
    <x v="598"/>
    <x v="589"/>
    <x v="34"/>
  </r>
  <r>
    <x v="319"/>
    <x v="298"/>
    <x v="1"/>
    <x v="1"/>
    <x v="1"/>
    <x v="0"/>
    <x v="0"/>
    <x v="0"/>
    <x v="599"/>
    <x v="616"/>
    <x v="0"/>
  </r>
  <r>
    <x v="319"/>
    <x v="298"/>
    <x v="24"/>
    <x v="49"/>
    <x v="51"/>
    <x v="0"/>
    <x v="93"/>
    <x v="0"/>
    <x v="600"/>
    <x v="617"/>
    <x v="0"/>
  </r>
  <r>
    <x v="319"/>
    <x v="298"/>
    <x v="2"/>
    <x v="16"/>
    <x v="16"/>
    <x v="430"/>
    <x v="1"/>
    <x v="499"/>
    <x v="601"/>
    <x v="618"/>
    <x v="1"/>
  </r>
  <r>
    <x v="319"/>
    <x v="298"/>
    <x v="2"/>
    <x v="16"/>
    <x v="16"/>
    <x v="164"/>
    <x v="8"/>
    <x v="500"/>
    <x v="602"/>
    <x v="589"/>
    <x v="100"/>
  </r>
  <r>
    <x v="320"/>
    <x v="298"/>
    <x v="11"/>
    <x v="20"/>
    <x v="20"/>
    <x v="0"/>
    <x v="1"/>
    <x v="0"/>
    <x v="0"/>
    <x v="589"/>
    <x v="0"/>
  </r>
  <r>
    <x v="320"/>
    <x v="298"/>
    <x v="11"/>
    <x v="20"/>
    <x v="20"/>
    <x v="0"/>
    <x v="8"/>
    <x v="0"/>
    <x v="0"/>
    <x v="589"/>
    <x v="0"/>
  </r>
  <r>
    <x v="320"/>
    <x v="298"/>
    <x v="10"/>
    <x v="16"/>
    <x v="16"/>
    <x v="0"/>
    <x v="0"/>
    <x v="501"/>
    <x v="603"/>
    <x v="619"/>
    <x v="0"/>
  </r>
  <r>
    <x v="321"/>
    <x v="299"/>
    <x v="23"/>
    <x v="49"/>
    <x v="51"/>
    <x v="0"/>
    <x v="0"/>
    <x v="0"/>
    <x v="604"/>
    <x v="620"/>
    <x v="0"/>
  </r>
  <r>
    <x v="321"/>
    <x v="299"/>
    <x v="2"/>
    <x v="16"/>
    <x v="16"/>
    <x v="431"/>
    <x v="8"/>
    <x v="502"/>
    <x v="605"/>
    <x v="589"/>
    <x v="7"/>
  </r>
  <r>
    <x v="322"/>
    <x v="300"/>
    <x v="24"/>
    <x v="49"/>
    <x v="51"/>
    <x v="0"/>
    <x v="94"/>
    <x v="0"/>
    <x v="606"/>
    <x v="621"/>
    <x v="0"/>
  </r>
  <r>
    <x v="322"/>
    <x v="300"/>
    <x v="2"/>
    <x v="51"/>
    <x v="53"/>
    <x v="432"/>
    <x v="13"/>
    <x v="503"/>
    <x v="607"/>
    <x v="589"/>
    <x v="103"/>
  </r>
  <r>
    <x v="323"/>
    <x v="301"/>
    <x v="24"/>
    <x v="49"/>
    <x v="51"/>
    <x v="0"/>
    <x v="95"/>
    <x v="0"/>
    <x v="608"/>
    <x v="622"/>
    <x v="0"/>
  </r>
  <r>
    <x v="323"/>
    <x v="300"/>
    <x v="11"/>
    <x v="20"/>
    <x v="20"/>
    <x v="0"/>
    <x v="8"/>
    <x v="0"/>
    <x v="0"/>
    <x v="622"/>
    <x v="0"/>
  </r>
  <r>
    <x v="323"/>
    <x v="301"/>
    <x v="2"/>
    <x v="37"/>
    <x v="38"/>
    <x v="145"/>
    <x v="19"/>
    <x v="504"/>
    <x v="609"/>
    <x v="589"/>
    <x v="21"/>
  </r>
  <r>
    <x v="323"/>
    <x v="300"/>
    <x v="10"/>
    <x v="16"/>
    <x v="16"/>
    <x v="0"/>
    <x v="0"/>
    <x v="505"/>
    <x v="610"/>
    <x v="623"/>
    <x v="0"/>
  </r>
  <r>
    <x v="324"/>
    <x v="302"/>
    <x v="23"/>
    <x v="49"/>
    <x v="51"/>
    <x v="0"/>
    <x v="0"/>
    <x v="0"/>
    <x v="611"/>
    <x v="0"/>
    <x v="0"/>
  </r>
  <r>
    <x v="325"/>
    <x v="303"/>
    <x v="24"/>
    <x v="49"/>
    <x v="51"/>
    <x v="0"/>
    <x v="96"/>
    <x v="0"/>
    <x v="612"/>
    <x v="624"/>
    <x v="0"/>
  </r>
  <r>
    <x v="325"/>
    <x v="303"/>
    <x v="2"/>
    <x v="51"/>
    <x v="53"/>
    <x v="218"/>
    <x v="65"/>
    <x v="506"/>
    <x v="613"/>
    <x v="589"/>
    <x v="68"/>
  </r>
  <r>
    <x v="326"/>
    <x v="304"/>
    <x v="24"/>
    <x v="49"/>
    <x v="51"/>
    <x v="0"/>
    <x v="97"/>
    <x v="0"/>
    <x v="614"/>
    <x v="625"/>
    <x v="0"/>
  </r>
  <r>
    <x v="326"/>
    <x v="304"/>
    <x v="2"/>
    <x v="16"/>
    <x v="16"/>
    <x v="433"/>
    <x v="4"/>
    <x v="507"/>
    <x v="615"/>
    <x v="589"/>
    <x v="4"/>
  </r>
  <r>
    <x v="327"/>
    <x v="305"/>
    <x v="20"/>
    <x v="23"/>
    <x v="26"/>
    <x v="0"/>
    <x v="75"/>
    <x v="0"/>
    <x v="0"/>
    <x v="589"/>
    <x v="0"/>
  </r>
  <r>
    <x v="327"/>
    <x v="305"/>
    <x v="21"/>
    <x v="23"/>
    <x v="26"/>
    <x v="0"/>
    <x v="98"/>
    <x v="0"/>
    <x v="0"/>
    <x v="589"/>
    <x v="104"/>
  </r>
  <r>
    <x v="328"/>
    <x v="305"/>
    <x v="11"/>
    <x v="20"/>
    <x v="20"/>
    <x v="0"/>
    <x v="4"/>
    <x v="0"/>
    <x v="0"/>
    <x v="589"/>
    <x v="0"/>
  </r>
  <r>
    <x v="328"/>
    <x v="305"/>
    <x v="10"/>
    <x v="16"/>
    <x v="16"/>
    <x v="0"/>
    <x v="0"/>
    <x v="508"/>
    <x v="616"/>
    <x v="626"/>
    <x v="0"/>
  </r>
  <r>
    <x v="329"/>
    <x v="306"/>
    <x v="5"/>
    <x v="1"/>
    <x v="1"/>
    <x v="0"/>
    <x v="0"/>
    <x v="0"/>
    <x v="617"/>
    <x v="627"/>
    <x v="0"/>
  </r>
  <r>
    <x v="329"/>
    <x v="306"/>
    <x v="23"/>
    <x v="49"/>
    <x v="51"/>
    <x v="0"/>
    <x v="0"/>
    <x v="0"/>
    <x v="618"/>
    <x v="628"/>
    <x v="0"/>
  </r>
  <r>
    <x v="330"/>
    <x v="97"/>
    <x v="25"/>
    <x v="49"/>
    <x v="51"/>
    <x v="0"/>
    <x v="0"/>
    <x v="509"/>
    <x v="619"/>
    <x v="629"/>
    <x v="0"/>
  </r>
  <r>
    <x v="331"/>
    <x v="307"/>
    <x v="24"/>
    <x v="49"/>
    <x v="51"/>
    <x v="0"/>
    <x v="99"/>
    <x v="0"/>
    <x v="620"/>
    <x v="630"/>
    <x v="0"/>
  </r>
  <r>
    <x v="331"/>
    <x v="307"/>
    <x v="2"/>
    <x v="37"/>
    <x v="38"/>
    <x v="434"/>
    <x v="19"/>
    <x v="510"/>
    <x v="621"/>
    <x v="589"/>
    <x v="34"/>
  </r>
  <r>
    <x v="332"/>
    <x v="308"/>
    <x v="24"/>
    <x v="49"/>
    <x v="51"/>
    <x v="0"/>
    <x v="100"/>
    <x v="0"/>
    <x v="622"/>
    <x v="631"/>
    <x v="0"/>
  </r>
  <r>
    <x v="332"/>
    <x v="308"/>
    <x v="2"/>
    <x v="16"/>
    <x v="16"/>
    <x v="404"/>
    <x v="11"/>
    <x v="511"/>
    <x v="623"/>
    <x v="589"/>
    <x v="23"/>
  </r>
  <r>
    <x v="333"/>
    <x v="309"/>
    <x v="1"/>
    <x v="1"/>
    <x v="1"/>
    <x v="0"/>
    <x v="0"/>
    <x v="0"/>
    <x v="624"/>
    <x v="632"/>
    <x v="0"/>
  </r>
  <r>
    <x v="333"/>
    <x v="309"/>
    <x v="24"/>
    <x v="49"/>
    <x v="51"/>
    <x v="0"/>
    <x v="101"/>
    <x v="0"/>
    <x v="625"/>
    <x v="633"/>
    <x v="0"/>
  </r>
  <r>
    <x v="333"/>
    <x v="308"/>
    <x v="11"/>
    <x v="20"/>
    <x v="20"/>
    <x v="0"/>
    <x v="11"/>
    <x v="0"/>
    <x v="0"/>
    <x v="633"/>
    <x v="0"/>
  </r>
  <r>
    <x v="333"/>
    <x v="309"/>
    <x v="2"/>
    <x v="16"/>
    <x v="16"/>
    <x v="435"/>
    <x v="11"/>
    <x v="512"/>
    <x v="626"/>
    <x v="634"/>
    <x v="23"/>
  </r>
  <r>
    <x v="333"/>
    <x v="309"/>
    <x v="7"/>
    <x v="52"/>
    <x v="54"/>
    <x v="436"/>
    <x v="1"/>
    <x v="513"/>
    <x v="627"/>
    <x v="635"/>
    <x v="0"/>
  </r>
  <r>
    <x v="333"/>
    <x v="309"/>
    <x v="7"/>
    <x v="52"/>
    <x v="54"/>
    <x v="437"/>
    <x v="11"/>
    <x v="36"/>
    <x v="628"/>
    <x v="636"/>
    <x v="0"/>
  </r>
  <r>
    <x v="333"/>
    <x v="309"/>
    <x v="7"/>
    <x v="52"/>
    <x v="54"/>
    <x v="438"/>
    <x v="11"/>
    <x v="36"/>
    <x v="628"/>
    <x v="589"/>
    <x v="0"/>
  </r>
  <r>
    <x v="333"/>
    <x v="308"/>
    <x v="10"/>
    <x v="16"/>
    <x v="16"/>
    <x v="0"/>
    <x v="0"/>
    <x v="514"/>
    <x v="629"/>
    <x v="637"/>
    <x v="0"/>
  </r>
  <r>
    <x v="334"/>
    <x v="310"/>
    <x v="4"/>
    <x v="1"/>
    <x v="1"/>
    <x v="0"/>
    <x v="0"/>
    <x v="0"/>
    <x v="630"/>
    <x v="638"/>
    <x v="0"/>
  </r>
  <r>
    <x v="334"/>
    <x v="309"/>
    <x v="11"/>
    <x v="20"/>
    <x v="20"/>
    <x v="0"/>
    <x v="11"/>
    <x v="0"/>
    <x v="0"/>
    <x v="638"/>
    <x v="0"/>
  </r>
  <r>
    <x v="334"/>
    <x v="309"/>
    <x v="10"/>
    <x v="16"/>
    <x v="16"/>
    <x v="0"/>
    <x v="0"/>
    <x v="514"/>
    <x v="629"/>
    <x v="639"/>
    <x v="0"/>
  </r>
  <r>
    <x v="335"/>
    <x v="311"/>
    <x v="23"/>
    <x v="49"/>
    <x v="51"/>
    <x v="0"/>
    <x v="0"/>
    <x v="0"/>
    <x v="631"/>
    <x v="640"/>
    <x v="0"/>
  </r>
  <r>
    <x v="335"/>
    <x v="309"/>
    <x v="8"/>
    <x v="52"/>
    <x v="54"/>
    <x v="436"/>
    <x v="1"/>
    <x v="515"/>
    <x v="632"/>
    <x v="641"/>
    <x v="0"/>
  </r>
  <r>
    <x v="335"/>
    <x v="309"/>
    <x v="8"/>
    <x v="52"/>
    <x v="54"/>
    <x v="437"/>
    <x v="11"/>
    <x v="516"/>
    <x v="633"/>
    <x v="642"/>
    <x v="0"/>
  </r>
  <r>
    <x v="335"/>
    <x v="309"/>
    <x v="8"/>
    <x v="52"/>
    <x v="54"/>
    <x v="438"/>
    <x v="11"/>
    <x v="517"/>
    <x v="634"/>
    <x v="0"/>
    <x v="0"/>
  </r>
  <r>
    <x v="336"/>
    <x v="312"/>
    <x v="24"/>
    <x v="49"/>
    <x v="51"/>
    <x v="0"/>
    <x v="102"/>
    <x v="0"/>
    <x v="635"/>
    <x v="643"/>
    <x v="0"/>
  </r>
  <r>
    <x v="336"/>
    <x v="312"/>
    <x v="2"/>
    <x v="48"/>
    <x v="50"/>
    <x v="439"/>
    <x v="31"/>
    <x v="518"/>
    <x v="636"/>
    <x v="589"/>
    <x v="35"/>
  </r>
  <r>
    <x v="337"/>
    <x v="313"/>
    <x v="23"/>
    <x v="49"/>
    <x v="51"/>
    <x v="0"/>
    <x v="0"/>
    <x v="0"/>
    <x v="637"/>
    <x v="644"/>
    <x v="0"/>
  </r>
  <r>
    <x v="337"/>
    <x v="313"/>
    <x v="3"/>
    <x v="48"/>
    <x v="50"/>
    <x v="440"/>
    <x v="31"/>
    <x v="519"/>
    <x v="638"/>
    <x v="589"/>
    <x v="0"/>
  </r>
  <r>
    <x v="338"/>
    <x v="314"/>
    <x v="23"/>
    <x v="49"/>
    <x v="51"/>
    <x v="0"/>
    <x v="0"/>
    <x v="0"/>
    <x v="639"/>
    <x v="645"/>
    <x v="0"/>
  </r>
  <r>
    <x v="338"/>
    <x v="314"/>
    <x v="3"/>
    <x v="37"/>
    <x v="38"/>
    <x v="311"/>
    <x v="19"/>
    <x v="520"/>
    <x v="640"/>
    <x v="589"/>
    <x v="21"/>
  </r>
  <r>
    <x v="339"/>
    <x v="315"/>
    <x v="24"/>
    <x v="49"/>
    <x v="51"/>
    <x v="0"/>
    <x v="103"/>
    <x v="0"/>
    <x v="641"/>
    <x v="646"/>
    <x v="0"/>
  </r>
  <r>
    <x v="339"/>
    <x v="315"/>
    <x v="2"/>
    <x v="41"/>
    <x v="42"/>
    <x v="340"/>
    <x v="26"/>
    <x v="521"/>
    <x v="642"/>
    <x v="589"/>
    <x v="19"/>
  </r>
  <r>
    <x v="340"/>
    <x v="316"/>
    <x v="23"/>
    <x v="49"/>
    <x v="51"/>
    <x v="0"/>
    <x v="0"/>
    <x v="0"/>
    <x v="643"/>
    <x v="647"/>
    <x v="0"/>
  </r>
  <r>
    <x v="340"/>
    <x v="316"/>
    <x v="3"/>
    <x v="51"/>
    <x v="53"/>
    <x v="441"/>
    <x v="65"/>
    <x v="522"/>
    <x v="644"/>
    <x v="648"/>
    <x v="103"/>
  </r>
  <r>
    <x v="341"/>
    <x v="317"/>
    <x v="24"/>
    <x v="49"/>
    <x v="51"/>
    <x v="0"/>
    <x v="104"/>
    <x v="0"/>
    <x v="645"/>
    <x v="649"/>
    <x v="0"/>
  </r>
  <r>
    <x v="341"/>
    <x v="317"/>
    <x v="2"/>
    <x v="51"/>
    <x v="53"/>
    <x v="442"/>
    <x v="65"/>
    <x v="523"/>
    <x v="646"/>
    <x v="650"/>
    <x v="68"/>
  </r>
  <r>
    <x v="342"/>
    <x v="318"/>
    <x v="24"/>
    <x v="49"/>
    <x v="51"/>
    <x v="0"/>
    <x v="105"/>
    <x v="0"/>
    <x v="647"/>
    <x v="651"/>
    <x v="0"/>
  </r>
  <r>
    <x v="342"/>
    <x v="318"/>
    <x v="3"/>
    <x v="41"/>
    <x v="42"/>
    <x v="392"/>
    <x v="26"/>
    <x v="524"/>
    <x v="648"/>
    <x v="652"/>
    <x v="0"/>
  </r>
  <r>
    <x v="342"/>
    <x v="318"/>
    <x v="3"/>
    <x v="37"/>
    <x v="38"/>
    <x v="282"/>
    <x v="19"/>
    <x v="525"/>
    <x v="649"/>
    <x v="653"/>
    <x v="0"/>
  </r>
  <r>
    <x v="342"/>
    <x v="318"/>
    <x v="2"/>
    <x v="48"/>
    <x v="50"/>
    <x v="443"/>
    <x v="31"/>
    <x v="526"/>
    <x v="650"/>
    <x v="654"/>
    <x v="35"/>
  </r>
  <r>
    <x v="342"/>
    <x v="318"/>
    <x v="7"/>
    <x v="53"/>
    <x v="55"/>
    <x v="444"/>
    <x v="106"/>
    <x v="527"/>
    <x v="651"/>
    <x v="655"/>
    <x v="0"/>
  </r>
  <r>
    <x v="343"/>
    <x v="319"/>
    <x v="23"/>
    <x v="49"/>
    <x v="51"/>
    <x v="0"/>
    <x v="0"/>
    <x v="0"/>
    <x v="652"/>
    <x v="656"/>
    <x v="0"/>
  </r>
  <r>
    <x v="343"/>
    <x v="318"/>
    <x v="8"/>
    <x v="53"/>
    <x v="55"/>
    <x v="444"/>
    <x v="106"/>
    <x v="528"/>
    <x v="653"/>
    <x v="657"/>
    <x v="0"/>
  </r>
  <r>
    <x v="344"/>
    <x v="320"/>
    <x v="24"/>
    <x v="49"/>
    <x v="51"/>
    <x v="0"/>
    <x v="0"/>
    <x v="0"/>
    <x v="32"/>
    <x v="657"/>
    <x v="0"/>
  </r>
  <r>
    <x v="345"/>
    <x v="321"/>
    <x v="24"/>
    <x v="49"/>
    <x v="51"/>
    <x v="0"/>
    <x v="0"/>
    <x v="0"/>
    <x v="654"/>
    <x v="657"/>
    <x v="0"/>
  </r>
  <r>
    <x v="346"/>
    <x v="322"/>
    <x v="24"/>
    <x v="49"/>
    <x v="51"/>
    <x v="0"/>
    <x v="107"/>
    <x v="0"/>
    <x v="655"/>
    <x v="658"/>
    <x v="0"/>
  </r>
  <r>
    <x v="346"/>
    <x v="322"/>
    <x v="3"/>
    <x v="48"/>
    <x v="50"/>
    <x v="445"/>
    <x v="31"/>
    <x v="529"/>
    <x v="656"/>
    <x v="659"/>
    <x v="0"/>
  </r>
  <r>
    <x v="346"/>
    <x v="322"/>
    <x v="7"/>
    <x v="53"/>
    <x v="55"/>
    <x v="285"/>
    <x v="108"/>
    <x v="530"/>
    <x v="657"/>
    <x v="660"/>
    <x v="0"/>
  </r>
  <r>
    <x v="347"/>
    <x v="323"/>
    <x v="23"/>
    <x v="49"/>
    <x v="51"/>
    <x v="0"/>
    <x v="0"/>
    <x v="0"/>
    <x v="658"/>
    <x v="661"/>
    <x v="0"/>
  </r>
  <r>
    <x v="347"/>
    <x v="322"/>
    <x v="8"/>
    <x v="53"/>
    <x v="55"/>
    <x v="285"/>
    <x v="108"/>
    <x v="531"/>
    <x v="659"/>
    <x v="657"/>
    <x v="0"/>
  </r>
  <r>
    <x v="348"/>
    <x v="324"/>
    <x v="24"/>
    <x v="49"/>
    <x v="51"/>
    <x v="0"/>
    <x v="0"/>
    <x v="0"/>
    <x v="32"/>
    <x v="657"/>
    <x v="0"/>
  </r>
  <r>
    <x v="349"/>
    <x v="325"/>
    <x v="24"/>
    <x v="49"/>
    <x v="51"/>
    <x v="0"/>
    <x v="0"/>
    <x v="0"/>
    <x v="660"/>
    <x v="657"/>
    <x v="0"/>
  </r>
  <r>
    <x v="350"/>
    <x v="326"/>
    <x v="24"/>
    <x v="49"/>
    <x v="51"/>
    <x v="0"/>
    <x v="0"/>
    <x v="0"/>
    <x v="654"/>
    <x v="657"/>
    <x v="0"/>
  </r>
  <r>
    <x v="351"/>
    <x v="327"/>
    <x v="24"/>
    <x v="49"/>
    <x v="51"/>
    <x v="0"/>
    <x v="0"/>
    <x v="0"/>
    <x v="32"/>
    <x v="657"/>
    <x v="0"/>
  </r>
  <r>
    <x v="352"/>
    <x v="328"/>
    <x v="24"/>
    <x v="49"/>
    <x v="51"/>
    <x v="0"/>
    <x v="0"/>
    <x v="0"/>
    <x v="32"/>
    <x v="657"/>
    <x v="0"/>
  </r>
  <r>
    <x v="353"/>
    <x v="329"/>
    <x v="24"/>
    <x v="49"/>
    <x v="51"/>
    <x v="0"/>
    <x v="0"/>
    <x v="0"/>
    <x v="32"/>
    <x v="657"/>
    <x v="0"/>
  </r>
  <r>
    <x v="354"/>
    <x v="330"/>
    <x v="24"/>
    <x v="49"/>
    <x v="51"/>
    <x v="0"/>
    <x v="0"/>
    <x v="0"/>
    <x v="32"/>
    <x v="657"/>
    <x v="0"/>
  </r>
  <r>
    <x v="355"/>
    <x v="331"/>
    <x v="24"/>
    <x v="49"/>
    <x v="51"/>
    <x v="0"/>
    <x v="0"/>
    <x v="0"/>
    <x v="654"/>
    <x v="657"/>
    <x v="0"/>
  </r>
  <r>
    <x v="356"/>
    <x v="332"/>
    <x v="24"/>
    <x v="49"/>
    <x v="51"/>
    <x v="0"/>
    <x v="96"/>
    <x v="0"/>
    <x v="661"/>
    <x v="662"/>
    <x v="0"/>
  </r>
  <r>
    <x v="356"/>
    <x v="332"/>
    <x v="2"/>
    <x v="51"/>
    <x v="53"/>
    <x v="218"/>
    <x v="65"/>
    <x v="506"/>
    <x v="613"/>
    <x v="650"/>
    <x v="105"/>
  </r>
  <r>
    <x v="357"/>
    <x v="333"/>
    <x v="23"/>
    <x v="49"/>
    <x v="51"/>
    <x v="0"/>
    <x v="0"/>
    <x v="0"/>
    <x v="662"/>
    <x v="663"/>
    <x v="0"/>
  </r>
  <r>
    <x v="358"/>
    <x v="334"/>
    <x v="24"/>
    <x v="49"/>
    <x v="51"/>
    <x v="0"/>
    <x v="109"/>
    <x v="0"/>
    <x v="663"/>
    <x v="664"/>
    <x v="0"/>
  </r>
  <r>
    <x v="358"/>
    <x v="334"/>
    <x v="2"/>
    <x v="43"/>
    <x v="44"/>
    <x v="446"/>
    <x v="26"/>
    <x v="532"/>
    <x v="664"/>
    <x v="665"/>
    <x v="61"/>
  </r>
  <r>
    <x v="358"/>
    <x v="334"/>
    <x v="3"/>
    <x v="43"/>
    <x v="44"/>
    <x v="447"/>
    <x v="26"/>
    <x v="533"/>
    <x v="665"/>
    <x v="589"/>
    <x v="34"/>
  </r>
  <r>
    <x v="359"/>
    <x v="335"/>
    <x v="23"/>
    <x v="49"/>
    <x v="51"/>
    <x v="0"/>
    <x v="0"/>
    <x v="0"/>
    <x v="666"/>
    <x v="666"/>
    <x v="0"/>
  </r>
  <r>
    <x v="359"/>
    <x v="335"/>
    <x v="3"/>
    <x v="51"/>
    <x v="53"/>
    <x v="442"/>
    <x v="65"/>
    <x v="523"/>
    <x v="667"/>
    <x v="589"/>
    <x v="68"/>
  </r>
  <r>
    <x v="360"/>
    <x v="336"/>
    <x v="24"/>
    <x v="49"/>
    <x v="51"/>
    <x v="0"/>
    <x v="110"/>
    <x v="0"/>
    <x v="668"/>
    <x v="667"/>
    <x v="0"/>
  </r>
  <r>
    <x v="360"/>
    <x v="336"/>
    <x v="2"/>
    <x v="51"/>
    <x v="53"/>
    <x v="442"/>
    <x v="65"/>
    <x v="523"/>
    <x v="646"/>
    <x v="589"/>
    <x v="105"/>
  </r>
  <r>
    <x v="361"/>
    <x v="337"/>
    <x v="23"/>
    <x v="49"/>
    <x v="51"/>
    <x v="0"/>
    <x v="0"/>
    <x v="0"/>
    <x v="669"/>
    <x v="668"/>
    <x v="0"/>
  </r>
  <r>
    <x v="361"/>
    <x v="337"/>
    <x v="3"/>
    <x v="50"/>
    <x v="52"/>
    <x v="448"/>
    <x v="13"/>
    <x v="534"/>
    <x v="670"/>
    <x v="589"/>
    <x v="0"/>
  </r>
  <r>
    <x v="362"/>
    <x v="338"/>
    <x v="24"/>
    <x v="49"/>
    <x v="51"/>
    <x v="0"/>
    <x v="111"/>
    <x v="0"/>
    <x v="671"/>
    <x v="669"/>
    <x v="0"/>
  </r>
  <r>
    <x v="363"/>
    <x v="339"/>
    <x v="23"/>
    <x v="49"/>
    <x v="51"/>
    <x v="0"/>
    <x v="0"/>
    <x v="0"/>
    <x v="672"/>
    <x v="0"/>
    <x v="0"/>
  </r>
  <r>
    <x v="364"/>
    <x v="340"/>
    <x v="5"/>
    <x v="1"/>
    <x v="1"/>
    <x v="0"/>
    <x v="0"/>
    <x v="0"/>
    <x v="673"/>
    <x v="670"/>
    <x v="0"/>
  </r>
  <r>
    <x v="365"/>
    <x v="97"/>
    <x v="25"/>
    <x v="49"/>
    <x v="51"/>
    <x v="0"/>
    <x v="0"/>
    <x v="535"/>
    <x v="674"/>
    <x v="671"/>
    <x v="0"/>
  </r>
  <r>
    <x v="366"/>
    <x v="341"/>
    <x v="24"/>
    <x v="49"/>
    <x v="51"/>
    <x v="0"/>
    <x v="112"/>
    <x v="0"/>
    <x v="675"/>
    <x v="672"/>
    <x v="0"/>
  </r>
  <r>
    <x v="366"/>
    <x v="341"/>
    <x v="2"/>
    <x v="51"/>
    <x v="53"/>
    <x v="449"/>
    <x v="65"/>
    <x v="536"/>
    <x v="676"/>
    <x v="589"/>
    <x v="106"/>
  </r>
  <r>
    <x v="367"/>
    <x v="342"/>
    <x v="24"/>
    <x v="49"/>
    <x v="51"/>
    <x v="0"/>
    <x v="113"/>
    <x v="0"/>
    <x v="677"/>
    <x v="673"/>
    <x v="0"/>
  </r>
  <r>
    <x v="367"/>
    <x v="342"/>
    <x v="2"/>
    <x v="54"/>
    <x v="56"/>
    <x v="450"/>
    <x v="31"/>
    <x v="537"/>
    <x v="678"/>
    <x v="589"/>
    <x v="35"/>
  </r>
  <r>
    <x v="368"/>
    <x v="343"/>
    <x v="24"/>
    <x v="49"/>
    <x v="51"/>
    <x v="0"/>
    <x v="114"/>
    <x v="0"/>
    <x v="679"/>
    <x v="674"/>
    <x v="0"/>
  </r>
  <r>
    <x v="368"/>
    <x v="343"/>
    <x v="2"/>
    <x v="54"/>
    <x v="56"/>
    <x v="451"/>
    <x v="31"/>
    <x v="538"/>
    <x v="680"/>
    <x v="675"/>
    <x v="75"/>
  </r>
  <r>
    <x v="368"/>
    <x v="343"/>
    <x v="3"/>
    <x v="54"/>
    <x v="56"/>
    <x v="452"/>
    <x v="31"/>
    <x v="236"/>
    <x v="681"/>
    <x v="676"/>
    <x v="35"/>
  </r>
  <r>
    <x v="368"/>
    <x v="343"/>
    <x v="2"/>
    <x v="54"/>
    <x v="56"/>
    <x v="453"/>
    <x v="31"/>
    <x v="539"/>
    <x v="682"/>
    <x v="677"/>
    <x v="75"/>
  </r>
  <r>
    <x v="368"/>
    <x v="343"/>
    <x v="2"/>
    <x v="48"/>
    <x v="50"/>
    <x v="454"/>
    <x v="31"/>
    <x v="540"/>
    <x v="683"/>
    <x v="589"/>
    <x v="35"/>
  </r>
  <r>
    <x v="369"/>
    <x v="344"/>
    <x v="24"/>
    <x v="49"/>
    <x v="51"/>
    <x v="0"/>
    <x v="115"/>
    <x v="0"/>
    <x v="684"/>
    <x v="678"/>
    <x v="0"/>
  </r>
  <r>
    <x v="369"/>
    <x v="344"/>
    <x v="2"/>
    <x v="48"/>
    <x v="50"/>
    <x v="455"/>
    <x v="31"/>
    <x v="541"/>
    <x v="685"/>
    <x v="589"/>
    <x v="75"/>
  </r>
  <r>
    <x v="370"/>
    <x v="345"/>
    <x v="23"/>
    <x v="49"/>
    <x v="51"/>
    <x v="0"/>
    <x v="0"/>
    <x v="0"/>
    <x v="686"/>
    <x v="679"/>
    <x v="0"/>
  </r>
  <r>
    <x v="370"/>
    <x v="345"/>
    <x v="3"/>
    <x v="54"/>
    <x v="56"/>
    <x v="456"/>
    <x v="67"/>
    <x v="542"/>
    <x v="687"/>
    <x v="589"/>
    <x v="0"/>
  </r>
  <r>
    <x v="371"/>
    <x v="346"/>
    <x v="23"/>
    <x v="49"/>
    <x v="51"/>
    <x v="0"/>
    <x v="0"/>
    <x v="0"/>
    <x v="688"/>
    <x v="680"/>
    <x v="0"/>
  </r>
  <r>
    <x v="371"/>
    <x v="346"/>
    <x v="3"/>
    <x v="48"/>
    <x v="50"/>
    <x v="457"/>
    <x v="67"/>
    <x v="543"/>
    <x v="689"/>
    <x v="589"/>
    <x v="0"/>
  </r>
  <r>
    <x v="372"/>
    <x v="347"/>
    <x v="23"/>
    <x v="55"/>
    <x v="57"/>
    <x v="0"/>
    <x v="0"/>
    <x v="0"/>
    <x v="265"/>
    <x v="681"/>
    <x v="0"/>
  </r>
  <r>
    <x v="372"/>
    <x v="347"/>
    <x v="24"/>
    <x v="49"/>
    <x v="51"/>
    <x v="0"/>
    <x v="116"/>
    <x v="0"/>
    <x v="690"/>
    <x v="0"/>
    <x v="0"/>
  </r>
  <r>
    <x v="373"/>
    <x v="348"/>
    <x v="24"/>
    <x v="49"/>
    <x v="51"/>
    <x v="0"/>
    <x v="117"/>
    <x v="0"/>
    <x v="691"/>
    <x v="682"/>
    <x v="0"/>
  </r>
  <r>
    <x v="373"/>
    <x v="348"/>
    <x v="2"/>
    <x v="51"/>
    <x v="53"/>
    <x v="218"/>
    <x v="59"/>
    <x v="544"/>
    <x v="692"/>
    <x v="683"/>
    <x v="107"/>
  </r>
  <r>
    <x v="374"/>
    <x v="348"/>
    <x v="24"/>
    <x v="55"/>
    <x v="57"/>
    <x v="0"/>
    <x v="118"/>
    <x v="545"/>
    <x v="693"/>
    <x v="684"/>
    <x v="0"/>
  </r>
  <r>
    <x v="375"/>
    <x v="349"/>
    <x v="23"/>
    <x v="49"/>
    <x v="51"/>
    <x v="0"/>
    <x v="0"/>
    <x v="0"/>
    <x v="694"/>
    <x v="0"/>
    <x v="0"/>
  </r>
  <r>
    <x v="376"/>
    <x v="350"/>
    <x v="24"/>
    <x v="49"/>
    <x v="51"/>
    <x v="0"/>
    <x v="119"/>
    <x v="0"/>
    <x v="695"/>
    <x v="684"/>
    <x v="0"/>
  </r>
  <r>
    <x v="376"/>
    <x v="350"/>
    <x v="2"/>
    <x v="48"/>
    <x v="50"/>
    <x v="458"/>
    <x v="120"/>
    <x v="546"/>
    <x v="696"/>
    <x v="685"/>
    <x v="108"/>
  </r>
  <r>
    <x v="377"/>
    <x v="351"/>
    <x v="23"/>
    <x v="49"/>
    <x v="51"/>
    <x v="0"/>
    <x v="0"/>
    <x v="0"/>
    <x v="697"/>
    <x v="686"/>
    <x v="0"/>
  </r>
  <r>
    <x v="377"/>
    <x v="351"/>
    <x v="3"/>
    <x v="48"/>
    <x v="50"/>
    <x v="459"/>
    <x v="120"/>
    <x v="547"/>
    <x v="698"/>
    <x v="589"/>
    <x v="0"/>
  </r>
  <r>
    <x v="378"/>
    <x v="352"/>
    <x v="24"/>
    <x v="49"/>
    <x v="51"/>
    <x v="0"/>
    <x v="121"/>
    <x v="0"/>
    <x v="699"/>
    <x v="687"/>
    <x v="0"/>
  </r>
  <r>
    <x v="378"/>
    <x v="352"/>
    <x v="2"/>
    <x v="51"/>
    <x v="53"/>
    <x v="55"/>
    <x v="34"/>
    <x v="548"/>
    <x v="700"/>
    <x v="688"/>
    <x v="109"/>
  </r>
  <r>
    <x v="379"/>
    <x v="353"/>
    <x v="3"/>
    <x v="51"/>
    <x v="53"/>
    <x v="17"/>
    <x v="34"/>
    <x v="549"/>
    <x v="701"/>
    <x v="689"/>
    <x v="107"/>
  </r>
  <r>
    <x v="379"/>
    <x v="353"/>
    <x v="2"/>
    <x v="51"/>
    <x v="53"/>
    <x v="231"/>
    <x v="34"/>
    <x v="550"/>
    <x v="702"/>
    <x v="690"/>
    <x v="109"/>
  </r>
  <r>
    <x v="379"/>
    <x v="353"/>
    <x v="3"/>
    <x v="51"/>
    <x v="53"/>
    <x v="460"/>
    <x v="34"/>
    <x v="551"/>
    <x v="703"/>
    <x v="691"/>
    <x v="107"/>
  </r>
  <r>
    <x v="379"/>
    <x v="353"/>
    <x v="2"/>
    <x v="51"/>
    <x v="53"/>
    <x v="304"/>
    <x v="76"/>
    <x v="552"/>
    <x v="704"/>
    <x v="692"/>
    <x v="110"/>
  </r>
  <r>
    <x v="380"/>
    <x v="354"/>
    <x v="6"/>
    <x v="43"/>
    <x v="44"/>
    <x v="0"/>
    <x v="0"/>
    <x v="553"/>
    <x v="705"/>
    <x v="693"/>
    <x v="0"/>
  </r>
  <r>
    <x v="381"/>
    <x v="355"/>
    <x v="1"/>
    <x v="1"/>
    <x v="1"/>
    <x v="0"/>
    <x v="0"/>
    <x v="0"/>
    <x v="706"/>
    <x v="694"/>
    <x v="0"/>
  </r>
  <r>
    <x v="381"/>
    <x v="355"/>
    <x v="23"/>
    <x v="49"/>
    <x v="51"/>
    <x v="0"/>
    <x v="0"/>
    <x v="0"/>
    <x v="707"/>
    <x v="695"/>
    <x v="0"/>
  </r>
  <r>
    <x v="381"/>
    <x v="355"/>
    <x v="2"/>
    <x v="22"/>
    <x v="22"/>
    <x v="461"/>
    <x v="67"/>
    <x v="554"/>
    <x v="708"/>
    <x v="589"/>
    <x v="75"/>
  </r>
  <r>
    <x v="382"/>
    <x v="356"/>
    <x v="23"/>
    <x v="49"/>
    <x v="51"/>
    <x v="0"/>
    <x v="0"/>
    <x v="0"/>
    <x v="709"/>
    <x v="696"/>
    <x v="0"/>
  </r>
  <r>
    <x v="382"/>
    <x v="356"/>
    <x v="2"/>
    <x v="22"/>
    <x v="22"/>
    <x v="462"/>
    <x v="122"/>
    <x v="555"/>
    <x v="710"/>
    <x v="697"/>
    <x v="111"/>
  </r>
  <r>
    <x v="382"/>
    <x v="356"/>
    <x v="3"/>
    <x v="22"/>
    <x v="22"/>
    <x v="228"/>
    <x v="67"/>
    <x v="556"/>
    <x v="711"/>
    <x v="589"/>
    <x v="112"/>
  </r>
  <r>
    <x v="383"/>
    <x v="357"/>
    <x v="5"/>
    <x v="1"/>
    <x v="1"/>
    <x v="0"/>
    <x v="0"/>
    <x v="0"/>
    <x v="712"/>
    <x v="698"/>
    <x v="0"/>
  </r>
  <r>
    <x v="383"/>
    <x v="357"/>
    <x v="23"/>
    <x v="49"/>
    <x v="51"/>
    <x v="0"/>
    <x v="0"/>
    <x v="0"/>
    <x v="713"/>
    <x v="699"/>
    <x v="0"/>
  </r>
  <r>
    <x v="383"/>
    <x v="357"/>
    <x v="3"/>
    <x v="22"/>
    <x v="22"/>
    <x v="463"/>
    <x v="122"/>
    <x v="557"/>
    <x v="714"/>
    <x v="698"/>
    <x v="0"/>
  </r>
  <r>
    <x v="384"/>
    <x v="97"/>
    <x v="25"/>
    <x v="49"/>
    <x v="51"/>
    <x v="0"/>
    <x v="0"/>
    <x v="558"/>
    <x v="715"/>
    <x v="700"/>
    <x v="0"/>
  </r>
  <r>
    <x v="385"/>
    <x v="358"/>
    <x v="24"/>
    <x v="49"/>
    <x v="51"/>
    <x v="0"/>
    <x v="123"/>
    <x v="0"/>
    <x v="716"/>
    <x v="701"/>
    <x v="0"/>
  </r>
  <r>
    <x v="385"/>
    <x v="358"/>
    <x v="2"/>
    <x v="22"/>
    <x v="22"/>
    <x v="464"/>
    <x v="67"/>
    <x v="559"/>
    <x v="717"/>
    <x v="589"/>
    <x v="75"/>
  </r>
  <r>
    <x v="386"/>
    <x v="359"/>
    <x v="23"/>
    <x v="49"/>
    <x v="51"/>
    <x v="0"/>
    <x v="0"/>
    <x v="0"/>
    <x v="718"/>
    <x v="702"/>
    <x v="0"/>
  </r>
  <r>
    <x v="386"/>
    <x v="359"/>
    <x v="3"/>
    <x v="22"/>
    <x v="22"/>
    <x v="465"/>
    <x v="67"/>
    <x v="560"/>
    <x v="719"/>
    <x v="589"/>
    <x v="0"/>
  </r>
  <r>
    <x v="387"/>
    <x v="360"/>
    <x v="24"/>
    <x v="49"/>
    <x v="51"/>
    <x v="0"/>
    <x v="124"/>
    <x v="0"/>
    <x v="720"/>
    <x v="703"/>
    <x v="0"/>
  </r>
  <r>
    <x v="387"/>
    <x v="360"/>
    <x v="2"/>
    <x v="51"/>
    <x v="53"/>
    <x v="466"/>
    <x v="65"/>
    <x v="561"/>
    <x v="721"/>
    <x v="704"/>
    <x v="113"/>
  </r>
  <r>
    <x v="388"/>
    <x v="361"/>
    <x v="6"/>
    <x v="24"/>
    <x v="24"/>
    <x v="0"/>
    <x v="125"/>
    <x v="562"/>
    <x v="722"/>
    <x v="705"/>
    <x v="0"/>
  </r>
  <r>
    <x v="389"/>
    <x v="362"/>
    <x v="23"/>
    <x v="49"/>
    <x v="51"/>
    <x v="0"/>
    <x v="0"/>
    <x v="0"/>
    <x v="723"/>
    <x v="0"/>
    <x v="0"/>
  </r>
  <r>
    <x v="390"/>
    <x v="363"/>
    <x v="23"/>
    <x v="49"/>
    <x v="51"/>
    <x v="0"/>
    <x v="0"/>
    <x v="0"/>
    <x v="724"/>
    <x v="706"/>
    <x v="0"/>
  </r>
  <r>
    <x v="390"/>
    <x v="363"/>
    <x v="6"/>
    <x v="51"/>
    <x v="53"/>
    <x v="0"/>
    <x v="0"/>
    <x v="563"/>
    <x v="725"/>
    <x v="707"/>
    <x v="0"/>
  </r>
  <r>
    <x v="390"/>
    <x v="363"/>
    <x v="3"/>
    <x v="51"/>
    <x v="53"/>
    <x v="383"/>
    <x v="65"/>
    <x v="564"/>
    <x v="726"/>
    <x v="708"/>
    <x v="110"/>
  </r>
  <r>
    <x v="390"/>
    <x v="363"/>
    <x v="2"/>
    <x v="22"/>
    <x v="22"/>
    <x v="467"/>
    <x v="67"/>
    <x v="565"/>
    <x v="727"/>
    <x v="709"/>
    <x v="75"/>
  </r>
  <r>
    <x v="391"/>
    <x v="364"/>
    <x v="24"/>
    <x v="49"/>
    <x v="51"/>
    <x v="0"/>
    <x v="126"/>
    <x v="0"/>
    <x v="728"/>
    <x v="710"/>
    <x v="0"/>
  </r>
  <r>
    <x v="391"/>
    <x v="364"/>
    <x v="2"/>
    <x v="56"/>
    <x v="58"/>
    <x v="468"/>
    <x v="67"/>
    <x v="566"/>
    <x v="729"/>
    <x v="589"/>
    <x v="75"/>
  </r>
  <r>
    <x v="392"/>
    <x v="365"/>
    <x v="3"/>
    <x v="22"/>
    <x v="22"/>
    <x v="469"/>
    <x v="67"/>
    <x v="567"/>
    <x v="730"/>
    <x v="711"/>
    <x v="0"/>
  </r>
  <r>
    <x v="392"/>
    <x v="365"/>
    <x v="2"/>
    <x v="22"/>
    <x v="22"/>
    <x v="470"/>
    <x v="67"/>
    <x v="434"/>
    <x v="731"/>
    <x v="712"/>
    <x v="75"/>
  </r>
  <r>
    <x v="393"/>
    <x v="366"/>
    <x v="23"/>
    <x v="49"/>
    <x v="51"/>
    <x v="0"/>
    <x v="0"/>
    <x v="0"/>
    <x v="732"/>
    <x v="713"/>
    <x v="0"/>
  </r>
  <r>
    <x v="393"/>
    <x v="366"/>
    <x v="3"/>
    <x v="56"/>
    <x v="58"/>
    <x v="471"/>
    <x v="67"/>
    <x v="568"/>
    <x v="733"/>
    <x v="714"/>
    <x v="0"/>
  </r>
  <r>
    <x v="393"/>
    <x v="366"/>
    <x v="3"/>
    <x v="22"/>
    <x v="22"/>
    <x v="472"/>
    <x v="67"/>
    <x v="569"/>
    <x v="734"/>
    <x v="589"/>
    <x v="0"/>
  </r>
  <r>
    <x v="394"/>
    <x v="367"/>
    <x v="24"/>
    <x v="49"/>
    <x v="51"/>
    <x v="0"/>
    <x v="127"/>
    <x v="0"/>
    <x v="735"/>
    <x v="715"/>
    <x v="0"/>
  </r>
  <r>
    <x v="394"/>
    <x v="367"/>
    <x v="2"/>
    <x v="22"/>
    <x v="22"/>
    <x v="473"/>
    <x v="67"/>
    <x v="570"/>
    <x v="736"/>
    <x v="589"/>
    <x v="75"/>
  </r>
  <r>
    <x v="395"/>
    <x v="368"/>
    <x v="24"/>
    <x v="49"/>
    <x v="51"/>
    <x v="0"/>
    <x v="128"/>
    <x v="0"/>
    <x v="737"/>
    <x v="716"/>
    <x v="0"/>
  </r>
  <r>
    <x v="395"/>
    <x v="368"/>
    <x v="2"/>
    <x v="48"/>
    <x v="50"/>
    <x v="474"/>
    <x v="129"/>
    <x v="571"/>
    <x v="738"/>
    <x v="717"/>
    <x v="114"/>
  </r>
  <r>
    <x v="396"/>
    <x v="369"/>
    <x v="23"/>
    <x v="49"/>
    <x v="51"/>
    <x v="0"/>
    <x v="0"/>
    <x v="0"/>
    <x v="739"/>
    <x v="718"/>
    <x v="0"/>
  </r>
  <r>
    <x v="396"/>
    <x v="369"/>
    <x v="3"/>
    <x v="48"/>
    <x v="50"/>
    <x v="475"/>
    <x v="129"/>
    <x v="572"/>
    <x v="740"/>
    <x v="589"/>
    <x v="0"/>
  </r>
  <r>
    <x v="397"/>
    <x v="370"/>
    <x v="23"/>
    <x v="49"/>
    <x v="51"/>
    <x v="0"/>
    <x v="0"/>
    <x v="0"/>
    <x v="741"/>
    <x v="719"/>
    <x v="0"/>
  </r>
  <r>
    <x v="397"/>
    <x v="370"/>
    <x v="3"/>
    <x v="22"/>
    <x v="22"/>
    <x v="476"/>
    <x v="67"/>
    <x v="573"/>
    <x v="742"/>
    <x v="589"/>
    <x v="0"/>
  </r>
  <r>
    <x v="398"/>
    <x v="371"/>
    <x v="24"/>
    <x v="49"/>
    <x v="51"/>
    <x v="0"/>
    <x v="130"/>
    <x v="0"/>
    <x v="743"/>
    <x v="720"/>
    <x v="0"/>
  </r>
  <r>
    <x v="398"/>
    <x v="371"/>
    <x v="2"/>
    <x v="22"/>
    <x v="22"/>
    <x v="477"/>
    <x v="67"/>
    <x v="574"/>
    <x v="744"/>
    <x v="589"/>
    <x v="75"/>
  </r>
  <r>
    <x v="399"/>
    <x v="372"/>
    <x v="3"/>
    <x v="22"/>
    <x v="22"/>
    <x v="478"/>
    <x v="67"/>
    <x v="575"/>
    <x v="745"/>
    <x v="721"/>
    <x v="0"/>
  </r>
  <r>
    <x v="399"/>
    <x v="372"/>
    <x v="2"/>
    <x v="43"/>
    <x v="44"/>
    <x v="479"/>
    <x v="65"/>
    <x v="576"/>
    <x v="746"/>
    <x v="722"/>
    <x v="74"/>
  </r>
  <r>
    <x v="399"/>
    <x v="372"/>
    <x v="3"/>
    <x v="43"/>
    <x v="44"/>
    <x v="480"/>
    <x v="65"/>
    <x v="577"/>
    <x v="747"/>
    <x v="723"/>
    <x v="34"/>
  </r>
  <r>
    <x v="399"/>
    <x v="372"/>
    <x v="2"/>
    <x v="22"/>
    <x v="22"/>
    <x v="481"/>
    <x v="67"/>
    <x v="578"/>
    <x v="748"/>
    <x v="724"/>
    <x v="75"/>
  </r>
  <r>
    <x v="400"/>
    <x v="373"/>
    <x v="23"/>
    <x v="49"/>
    <x v="51"/>
    <x v="0"/>
    <x v="0"/>
    <x v="0"/>
    <x v="749"/>
    <x v="725"/>
    <x v="0"/>
  </r>
  <r>
    <x v="400"/>
    <x v="373"/>
    <x v="3"/>
    <x v="22"/>
    <x v="22"/>
    <x v="482"/>
    <x v="67"/>
    <x v="579"/>
    <x v="750"/>
    <x v="726"/>
    <x v="0"/>
  </r>
  <r>
    <x v="400"/>
    <x v="373"/>
    <x v="3"/>
    <x v="24"/>
    <x v="24"/>
    <x v="20"/>
    <x v="30"/>
    <x v="580"/>
    <x v="751"/>
    <x v="727"/>
    <x v="115"/>
  </r>
  <r>
    <x v="400"/>
    <x v="373"/>
    <x v="2"/>
    <x v="24"/>
    <x v="24"/>
    <x v="483"/>
    <x v="30"/>
    <x v="581"/>
    <x v="752"/>
    <x v="728"/>
    <x v="93"/>
  </r>
  <r>
    <x v="400"/>
    <x v="373"/>
    <x v="3"/>
    <x v="24"/>
    <x v="24"/>
    <x v="484"/>
    <x v="30"/>
    <x v="582"/>
    <x v="753"/>
    <x v="729"/>
    <x v="115"/>
  </r>
  <r>
    <x v="400"/>
    <x v="373"/>
    <x v="2"/>
    <x v="22"/>
    <x v="22"/>
    <x v="207"/>
    <x v="31"/>
    <x v="239"/>
    <x v="299"/>
    <x v="730"/>
    <x v="35"/>
  </r>
  <r>
    <x v="401"/>
    <x v="374"/>
    <x v="24"/>
    <x v="49"/>
    <x v="51"/>
    <x v="0"/>
    <x v="131"/>
    <x v="0"/>
    <x v="754"/>
    <x v="731"/>
    <x v="0"/>
  </r>
  <r>
    <x v="401"/>
    <x v="374"/>
    <x v="3"/>
    <x v="22"/>
    <x v="22"/>
    <x v="485"/>
    <x v="31"/>
    <x v="583"/>
    <x v="755"/>
    <x v="732"/>
    <x v="0"/>
  </r>
  <r>
    <x v="401"/>
    <x v="374"/>
    <x v="2"/>
    <x v="56"/>
    <x v="58"/>
    <x v="486"/>
    <x v="31"/>
    <x v="584"/>
    <x v="756"/>
    <x v="733"/>
    <x v="35"/>
  </r>
  <r>
    <x v="401"/>
    <x v="374"/>
    <x v="2"/>
    <x v="57"/>
    <x v="59"/>
    <x v="487"/>
    <x v="3"/>
    <x v="403"/>
    <x v="757"/>
    <x v="589"/>
    <x v="3"/>
  </r>
  <r>
    <x v="402"/>
    <x v="375"/>
    <x v="23"/>
    <x v="49"/>
    <x v="51"/>
    <x v="0"/>
    <x v="0"/>
    <x v="0"/>
    <x v="758"/>
    <x v="734"/>
    <x v="0"/>
  </r>
  <r>
    <x v="402"/>
    <x v="375"/>
    <x v="3"/>
    <x v="24"/>
    <x v="24"/>
    <x v="488"/>
    <x v="65"/>
    <x v="585"/>
    <x v="759"/>
    <x v="589"/>
    <x v="116"/>
  </r>
  <r>
    <x v="403"/>
    <x v="376"/>
    <x v="24"/>
    <x v="49"/>
    <x v="51"/>
    <x v="0"/>
    <x v="132"/>
    <x v="0"/>
    <x v="760"/>
    <x v="735"/>
    <x v="0"/>
  </r>
  <r>
    <x v="403"/>
    <x v="376"/>
    <x v="2"/>
    <x v="57"/>
    <x v="59"/>
    <x v="489"/>
    <x v="3"/>
    <x v="586"/>
    <x v="761"/>
    <x v="736"/>
    <x v="11"/>
  </r>
  <r>
    <x v="403"/>
    <x v="376"/>
    <x v="2"/>
    <x v="56"/>
    <x v="58"/>
    <x v="490"/>
    <x v="31"/>
    <x v="587"/>
    <x v="762"/>
    <x v="737"/>
    <x v="75"/>
  </r>
  <r>
    <x v="403"/>
    <x v="376"/>
    <x v="2"/>
    <x v="22"/>
    <x v="22"/>
    <x v="491"/>
    <x v="31"/>
    <x v="588"/>
    <x v="763"/>
    <x v="738"/>
    <x v="35"/>
  </r>
  <r>
    <x v="403"/>
    <x v="376"/>
    <x v="3"/>
    <x v="56"/>
    <x v="58"/>
    <x v="492"/>
    <x v="31"/>
    <x v="589"/>
    <x v="764"/>
    <x v="739"/>
    <x v="35"/>
  </r>
  <r>
    <x v="403"/>
    <x v="376"/>
    <x v="3"/>
    <x v="57"/>
    <x v="59"/>
    <x v="493"/>
    <x v="3"/>
    <x v="590"/>
    <x v="765"/>
    <x v="589"/>
    <x v="3"/>
  </r>
  <r>
    <x v="404"/>
    <x v="377"/>
    <x v="24"/>
    <x v="49"/>
    <x v="51"/>
    <x v="0"/>
    <x v="133"/>
    <x v="0"/>
    <x v="766"/>
    <x v="740"/>
    <x v="0"/>
  </r>
  <r>
    <x v="404"/>
    <x v="377"/>
    <x v="2"/>
    <x v="57"/>
    <x v="59"/>
    <x v="494"/>
    <x v="3"/>
    <x v="591"/>
    <x v="767"/>
    <x v="741"/>
    <x v="11"/>
  </r>
  <r>
    <x v="404"/>
    <x v="377"/>
    <x v="2"/>
    <x v="56"/>
    <x v="58"/>
    <x v="495"/>
    <x v="31"/>
    <x v="592"/>
    <x v="768"/>
    <x v="742"/>
    <x v="75"/>
  </r>
  <r>
    <x v="404"/>
    <x v="377"/>
    <x v="3"/>
    <x v="56"/>
    <x v="58"/>
    <x v="496"/>
    <x v="31"/>
    <x v="593"/>
    <x v="769"/>
    <x v="743"/>
    <x v="35"/>
  </r>
  <r>
    <x v="404"/>
    <x v="377"/>
    <x v="2"/>
    <x v="58"/>
    <x v="60"/>
    <x v="497"/>
    <x v="26"/>
    <x v="594"/>
    <x v="770"/>
    <x v="744"/>
    <x v="19"/>
  </r>
  <r>
    <x v="404"/>
    <x v="377"/>
    <x v="3"/>
    <x v="57"/>
    <x v="59"/>
    <x v="498"/>
    <x v="3"/>
    <x v="444"/>
    <x v="771"/>
    <x v="589"/>
    <x v="3"/>
  </r>
  <r>
    <x v="405"/>
    <x v="378"/>
    <x v="23"/>
    <x v="49"/>
    <x v="51"/>
    <x v="0"/>
    <x v="0"/>
    <x v="0"/>
    <x v="772"/>
    <x v="745"/>
    <x v="0"/>
  </r>
  <r>
    <x v="405"/>
    <x v="378"/>
    <x v="2"/>
    <x v="59"/>
    <x v="61"/>
    <x v="499"/>
    <x v="17"/>
    <x v="595"/>
    <x v="773"/>
    <x v="746"/>
    <x v="18"/>
  </r>
  <r>
    <x v="405"/>
    <x v="378"/>
    <x v="3"/>
    <x v="22"/>
    <x v="22"/>
    <x v="500"/>
    <x v="31"/>
    <x v="596"/>
    <x v="774"/>
    <x v="747"/>
    <x v="0"/>
  </r>
  <r>
    <x v="405"/>
    <x v="378"/>
    <x v="2"/>
    <x v="56"/>
    <x v="58"/>
    <x v="501"/>
    <x v="31"/>
    <x v="597"/>
    <x v="775"/>
    <x v="748"/>
    <x v="75"/>
  </r>
  <r>
    <x v="405"/>
    <x v="378"/>
    <x v="3"/>
    <x v="58"/>
    <x v="60"/>
    <x v="502"/>
    <x v="26"/>
    <x v="598"/>
    <x v="776"/>
    <x v="749"/>
    <x v="0"/>
  </r>
  <r>
    <x v="405"/>
    <x v="378"/>
    <x v="3"/>
    <x v="57"/>
    <x v="59"/>
    <x v="503"/>
    <x v="3"/>
    <x v="599"/>
    <x v="777"/>
    <x v="750"/>
    <x v="0"/>
  </r>
  <r>
    <x v="405"/>
    <x v="378"/>
    <x v="3"/>
    <x v="56"/>
    <x v="58"/>
    <x v="504"/>
    <x v="31"/>
    <x v="600"/>
    <x v="778"/>
    <x v="589"/>
    <x v="35"/>
  </r>
  <r>
    <x v="406"/>
    <x v="379"/>
    <x v="23"/>
    <x v="49"/>
    <x v="51"/>
    <x v="0"/>
    <x v="0"/>
    <x v="0"/>
    <x v="779"/>
    <x v="751"/>
    <x v="0"/>
  </r>
  <r>
    <x v="406"/>
    <x v="379"/>
    <x v="2"/>
    <x v="56"/>
    <x v="58"/>
    <x v="505"/>
    <x v="31"/>
    <x v="601"/>
    <x v="780"/>
    <x v="752"/>
    <x v="75"/>
  </r>
  <r>
    <x v="406"/>
    <x v="379"/>
    <x v="2"/>
    <x v="22"/>
    <x v="22"/>
    <x v="491"/>
    <x v="31"/>
    <x v="588"/>
    <x v="763"/>
    <x v="753"/>
    <x v="35"/>
  </r>
  <r>
    <x v="406"/>
    <x v="379"/>
    <x v="3"/>
    <x v="56"/>
    <x v="58"/>
    <x v="506"/>
    <x v="31"/>
    <x v="602"/>
    <x v="781"/>
    <x v="754"/>
    <x v="35"/>
  </r>
  <r>
    <x v="406"/>
    <x v="379"/>
    <x v="3"/>
    <x v="59"/>
    <x v="61"/>
    <x v="507"/>
    <x v="17"/>
    <x v="603"/>
    <x v="782"/>
    <x v="589"/>
    <x v="0"/>
  </r>
  <r>
    <x v="407"/>
    <x v="380"/>
    <x v="24"/>
    <x v="49"/>
    <x v="51"/>
    <x v="0"/>
    <x v="134"/>
    <x v="0"/>
    <x v="783"/>
    <x v="755"/>
    <x v="0"/>
  </r>
  <r>
    <x v="407"/>
    <x v="380"/>
    <x v="3"/>
    <x v="56"/>
    <x v="58"/>
    <x v="501"/>
    <x v="31"/>
    <x v="597"/>
    <x v="784"/>
    <x v="756"/>
    <x v="0"/>
  </r>
  <r>
    <x v="407"/>
    <x v="380"/>
    <x v="3"/>
    <x v="22"/>
    <x v="22"/>
    <x v="186"/>
    <x v="31"/>
    <x v="604"/>
    <x v="785"/>
    <x v="757"/>
    <x v="0"/>
  </r>
  <r>
    <x v="407"/>
    <x v="380"/>
    <x v="2"/>
    <x v="22"/>
    <x v="22"/>
    <x v="173"/>
    <x v="31"/>
    <x v="605"/>
    <x v="786"/>
    <x v="758"/>
    <x v="35"/>
  </r>
  <r>
    <x v="407"/>
    <x v="380"/>
    <x v="2"/>
    <x v="56"/>
    <x v="58"/>
    <x v="508"/>
    <x v="67"/>
    <x v="606"/>
    <x v="787"/>
    <x v="589"/>
    <x v="75"/>
  </r>
  <r>
    <x v="408"/>
    <x v="381"/>
    <x v="24"/>
    <x v="49"/>
    <x v="51"/>
    <x v="0"/>
    <x v="135"/>
    <x v="0"/>
    <x v="788"/>
    <x v="759"/>
    <x v="0"/>
  </r>
  <r>
    <x v="408"/>
    <x v="381"/>
    <x v="2"/>
    <x v="56"/>
    <x v="58"/>
    <x v="509"/>
    <x v="67"/>
    <x v="607"/>
    <x v="789"/>
    <x v="589"/>
    <x v="55"/>
  </r>
  <r>
    <x v="409"/>
    <x v="382"/>
    <x v="23"/>
    <x v="49"/>
    <x v="51"/>
    <x v="0"/>
    <x v="0"/>
    <x v="0"/>
    <x v="790"/>
    <x v="760"/>
    <x v="0"/>
  </r>
  <r>
    <x v="409"/>
    <x v="382"/>
    <x v="3"/>
    <x v="56"/>
    <x v="58"/>
    <x v="510"/>
    <x v="67"/>
    <x v="608"/>
    <x v="791"/>
    <x v="761"/>
    <x v="75"/>
  </r>
  <r>
    <x v="409"/>
    <x v="382"/>
    <x v="2"/>
    <x v="56"/>
    <x v="58"/>
    <x v="511"/>
    <x v="67"/>
    <x v="609"/>
    <x v="792"/>
    <x v="762"/>
    <x v="55"/>
  </r>
  <r>
    <x v="409"/>
    <x v="382"/>
    <x v="3"/>
    <x v="56"/>
    <x v="58"/>
    <x v="512"/>
    <x v="67"/>
    <x v="327"/>
    <x v="793"/>
    <x v="589"/>
    <x v="75"/>
  </r>
  <r>
    <x v="410"/>
    <x v="383"/>
    <x v="24"/>
    <x v="49"/>
    <x v="51"/>
    <x v="0"/>
    <x v="136"/>
    <x v="0"/>
    <x v="794"/>
    <x v="763"/>
    <x v="0"/>
  </r>
  <r>
    <x v="410"/>
    <x v="383"/>
    <x v="2"/>
    <x v="56"/>
    <x v="58"/>
    <x v="511"/>
    <x v="67"/>
    <x v="609"/>
    <x v="792"/>
    <x v="764"/>
    <x v="55"/>
  </r>
  <r>
    <x v="410"/>
    <x v="383"/>
    <x v="2"/>
    <x v="22"/>
    <x v="22"/>
    <x v="236"/>
    <x v="31"/>
    <x v="610"/>
    <x v="795"/>
    <x v="762"/>
    <x v="75"/>
  </r>
  <r>
    <x v="410"/>
    <x v="383"/>
    <x v="3"/>
    <x v="56"/>
    <x v="58"/>
    <x v="512"/>
    <x v="67"/>
    <x v="327"/>
    <x v="793"/>
    <x v="589"/>
    <x v="75"/>
  </r>
  <r>
    <x v="411"/>
    <x v="384"/>
    <x v="24"/>
    <x v="49"/>
    <x v="51"/>
    <x v="0"/>
    <x v="15"/>
    <x v="0"/>
    <x v="796"/>
    <x v="765"/>
    <x v="0"/>
  </r>
  <r>
    <x v="411"/>
    <x v="384"/>
    <x v="2"/>
    <x v="22"/>
    <x v="22"/>
    <x v="513"/>
    <x v="67"/>
    <x v="611"/>
    <x v="797"/>
    <x v="766"/>
    <x v="55"/>
  </r>
  <r>
    <x v="411"/>
    <x v="384"/>
    <x v="3"/>
    <x v="56"/>
    <x v="58"/>
    <x v="514"/>
    <x v="67"/>
    <x v="417"/>
    <x v="798"/>
    <x v="767"/>
    <x v="0"/>
  </r>
  <r>
    <x v="411"/>
    <x v="384"/>
    <x v="3"/>
    <x v="22"/>
    <x v="22"/>
    <x v="515"/>
    <x v="67"/>
    <x v="612"/>
    <x v="799"/>
    <x v="768"/>
    <x v="75"/>
  </r>
  <r>
    <x v="411"/>
    <x v="384"/>
    <x v="2"/>
    <x v="56"/>
    <x v="58"/>
    <x v="516"/>
    <x v="67"/>
    <x v="613"/>
    <x v="800"/>
    <x v="589"/>
    <x v="75"/>
  </r>
  <r>
    <x v="412"/>
    <x v="385"/>
    <x v="24"/>
    <x v="49"/>
    <x v="51"/>
    <x v="0"/>
    <x v="137"/>
    <x v="0"/>
    <x v="801"/>
    <x v="769"/>
    <x v="0"/>
  </r>
  <r>
    <x v="412"/>
    <x v="385"/>
    <x v="2"/>
    <x v="22"/>
    <x v="22"/>
    <x v="234"/>
    <x v="67"/>
    <x v="248"/>
    <x v="802"/>
    <x v="770"/>
    <x v="55"/>
  </r>
  <r>
    <x v="412"/>
    <x v="385"/>
    <x v="2"/>
    <x v="56"/>
    <x v="58"/>
    <x v="517"/>
    <x v="67"/>
    <x v="614"/>
    <x v="790"/>
    <x v="771"/>
    <x v="55"/>
  </r>
  <r>
    <x v="412"/>
    <x v="385"/>
    <x v="3"/>
    <x v="56"/>
    <x v="58"/>
    <x v="518"/>
    <x v="67"/>
    <x v="615"/>
    <x v="803"/>
    <x v="772"/>
    <x v="75"/>
  </r>
  <r>
    <x v="412"/>
    <x v="385"/>
    <x v="2"/>
    <x v="56"/>
    <x v="58"/>
    <x v="518"/>
    <x v="67"/>
    <x v="615"/>
    <x v="804"/>
    <x v="589"/>
    <x v="55"/>
  </r>
  <r>
    <x v="413"/>
    <x v="386"/>
    <x v="23"/>
    <x v="49"/>
    <x v="51"/>
    <x v="0"/>
    <x v="0"/>
    <x v="0"/>
    <x v="805"/>
    <x v="773"/>
    <x v="0"/>
  </r>
  <r>
    <x v="413"/>
    <x v="386"/>
    <x v="3"/>
    <x v="56"/>
    <x v="58"/>
    <x v="519"/>
    <x v="49"/>
    <x v="523"/>
    <x v="806"/>
    <x v="774"/>
    <x v="0"/>
  </r>
  <r>
    <x v="413"/>
    <x v="386"/>
    <x v="3"/>
    <x v="22"/>
    <x v="22"/>
    <x v="520"/>
    <x v="49"/>
    <x v="616"/>
    <x v="807"/>
    <x v="775"/>
    <x v="0"/>
  </r>
  <r>
    <x v="413"/>
    <x v="386"/>
    <x v="2"/>
    <x v="22"/>
    <x v="22"/>
    <x v="224"/>
    <x v="67"/>
    <x v="617"/>
    <x v="808"/>
    <x v="589"/>
    <x v="75"/>
  </r>
  <r>
    <x v="414"/>
    <x v="387"/>
    <x v="24"/>
    <x v="49"/>
    <x v="51"/>
    <x v="0"/>
    <x v="138"/>
    <x v="0"/>
    <x v="809"/>
    <x v="776"/>
    <x v="0"/>
  </r>
  <r>
    <x v="414"/>
    <x v="387"/>
    <x v="2"/>
    <x v="24"/>
    <x v="24"/>
    <x v="483"/>
    <x v="65"/>
    <x v="618"/>
    <x v="810"/>
    <x v="589"/>
    <x v="115"/>
  </r>
  <r>
    <x v="415"/>
    <x v="388"/>
    <x v="24"/>
    <x v="49"/>
    <x v="51"/>
    <x v="0"/>
    <x v="139"/>
    <x v="0"/>
    <x v="811"/>
    <x v="777"/>
    <x v="0"/>
  </r>
  <r>
    <x v="415"/>
    <x v="388"/>
    <x v="2"/>
    <x v="56"/>
    <x v="58"/>
    <x v="521"/>
    <x v="67"/>
    <x v="493"/>
    <x v="591"/>
    <x v="778"/>
    <x v="75"/>
  </r>
  <r>
    <x v="415"/>
    <x v="388"/>
    <x v="2"/>
    <x v="51"/>
    <x v="53"/>
    <x v="55"/>
    <x v="19"/>
    <x v="619"/>
    <x v="812"/>
    <x v="779"/>
    <x v="117"/>
  </r>
  <r>
    <x v="416"/>
    <x v="97"/>
    <x v="9"/>
    <x v="24"/>
    <x v="24"/>
    <x v="0"/>
    <x v="0"/>
    <x v="0"/>
    <x v="813"/>
    <x v="780"/>
    <x v="0"/>
  </r>
  <r>
    <x v="416"/>
    <x v="97"/>
    <x v="9"/>
    <x v="24"/>
    <x v="24"/>
    <x v="0"/>
    <x v="0"/>
    <x v="0"/>
    <x v="814"/>
    <x v="781"/>
    <x v="0"/>
  </r>
  <r>
    <x v="416"/>
    <x v="97"/>
    <x v="9"/>
    <x v="24"/>
    <x v="24"/>
    <x v="0"/>
    <x v="0"/>
    <x v="0"/>
    <x v="815"/>
    <x v="782"/>
    <x v="0"/>
  </r>
  <r>
    <x v="417"/>
    <x v="389"/>
    <x v="23"/>
    <x v="49"/>
    <x v="51"/>
    <x v="0"/>
    <x v="0"/>
    <x v="0"/>
    <x v="816"/>
    <x v="783"/>
    <x v="0"/>
  </r>
  <r>
    <x v="417"/>
    <x v="389"/>
    <x v="3"/>
    <x v="56"/>
    <x v="58"/>
    <x v="522"/>
    <x v="67"/>
    <x v="620"/>
    <x v="817"/>
    <x v="784"/>
    <x v="0"/>
  </r>
  <r>
    <x v="417"/>
    <x v="389"/>
    <x v="3"/>
    <x v="24"/>
    <x v="24"/>
    <x v="523"/>
    <x v="65"/>
    <x v="621"/>
    <x v="818"/>
    <x v="785"/>
    <x v="116"/>
  </r>
  <r>
    <x v="417"/>
    <x v="389"/>
    <x v="2"/>
    <x v="56"/>
    <x v="58"/>
    <x v="524"/>
    <x v="67"/>
    <x v="369"/>
    <x v="819"/>
    <x v="730"/>
    <x v="75"/>
  </r>
  <r>
    <x v="418"/>
    <x v="390"/>
    <x v="23"/>
    <x v="49"/>
    <x v="51"/>
    <x v="0"/>
    <x v="0"/>
    <x v="0"/>
    <x v="820"/>
    <x v="786"/>
    <x v="0"/>
  </r>
  <r>
    <x v="418"/>
    <x v="390"/>
    <x v="3"/>
    <x v="56"/>
    <x v="58"/>
    <x v="525"/>
    <x v="67"/>
    <x v="622"/>
    <x v="821"/>
    <x v="589"/>
    <x v="0"/>
  </r>
  <r>
    <x v="419"/>
    <x v="391"/>
    <x v="3"/>
    <x v="22"/>
    <x v="22"/>
    <x v="118"/>
    <x v="67"/>
    <x v="623"/>
    <x v="822"/>
    <x v="787"/>
    <x v="0"/>
  </r>
  <r>
    <x v="419"/>
    <x v="391"/>
    <x v="2"/>
    <x v="22"/>
    <x v="22"/>
    <x v="526"/>
    <x v="67"/>
    <x v="521"/>
    <x v="823"/>
    <x v="788"/>
    <x v="75"/>
  </r>
  <r>
    <x v="420"/>
    <x v="97"/>
    <x v="9"/>
    <x v="24"/>
    <x v="24"/>
    <x v="0"/>
    <x v="0"/>
    <x v="0"/>
    <x v="824"/>
    <x v="789"/>
    <x v="0"/>
  </r>
  <r>
    <x v="420"/>
    <x v="97"/>
    <x v="9"/>
    <x v="24"/>
    <x v="24"/>
    <x v="0"/>
    <x v="0"/>
    <x v="0"/>
    <x v="825"/>
    <x v="790"/>
    <x v="0"/>
  </r>
  <r>
    <x v="421"/>
    <x v="392"/>
    <x v="24"/>
    <x v="49"/>
    <x v="51"/>
    <x v="0"/>
    <x v="140"/>
    <x v="0"/>
    <x v="826"/>
    <x v="791"/>
    <x v="0"/>
  </r>
  <r>
    <x v="421"/>
    <x v="392"/>
    <x v="2"/>
    <x v="56"/>
    <x v="58"/>
    <x v="527"/>
    <x v="67"/>
    <x v="624"/>
    <x v="827"/>
    <x v="589"/>
    <x v="75"/>
  </r>
  <r>
    <x v="422"/>
    <x v="393"/>
    <x v="23"/>
    <x v="49"/>
    <x v="51"/>
    <x v="0"/>
    <x v="0"/>
    <x v="0"/>
    <x v="828"/>
    <x v="792"/>
    <x v="0"/>
  </r>
  <r>
    <x v="422"/>
    <x v="393"/>
    <x v="3"/>
    <x v="56"/>
    <x v="58"/>
    <x v="528"/>
    <x v="67"/>
    <x v="625"/>
    <x v="829"/>
    <x v="589"/>
    <x v="0"/>
  </r>
  <r>
    <x v="423"/>
    <x v="394"/>
    <x v="23"/>
    <x v="49"/>
    <x v="51"/>
    <x v="0"/>
    <x v="0"/>
    <x v="0"/>
    <x v="830"/>
    <x v="793"/>
    <x v="0"/>
  </r>
  <r>
    <x v="423"/>
    <x v="394"/>
    <x v="3"/>
    <x v="51"/>
    <x v="53"/>
    <x v="529"/>
    <x v="19"/>
    <x v="626"/>
    <x v="831"/>
    <x v="589"/>
    <x v="110"/>
  </r>
  <r>
    <x v="424"/>
    <x v="395"/>
    <x v="24"/>
    <x v="49"/>
    <x v="51"/>
    <x v="0"/>
    <x v="141"/>
    <x v="0"/>
    <x v="832"/>
    <x v="794"/>
    <x v="0"/>
  </r>
  <r>
    <x v="424"/>
    <x v="395"/>
    <x v="2"/>
    <x v="22"/>
    <x v="22"/>
    <x v="236"/>
    <x v="67"/>
    <x v="627"/>
    <x v="833"/>
    <x v="589"/>
    <x v="55"/>
  </r>
  <r>
    <x v="425"/>
    <x v="396"/>
    <x v="3"/>
    <x v="22"/>
    <x v="22"/>
    <x v="118"/>
    <x v="67"/>
    <x v="623"/>
    <x v="822"/>
    <x v="787"/>
    <x v="75"/>
  </r>
  <r>
    <x v="425"/>
    <x v="396"/>
    <x v="2"/>
    <x v="22"/>
    <x v="22"/>
    <x v="530"/>
    <x v="67"/>
    <x v="398"/>
    <x v="834"/>
    <x v="795"/>
    <x v="55"/>
  </r>
  <r>
    <x v="426"/>
    <x v="97"/>
    <x v="9"/>
    <x v="51"/>
    <x v="53"/>
    <x v="0"/>
    <x v="0"/>
    <x v="0"/>
    <x v="835"/>
    <x v="796"/>
    <x v="0"/>
  </r>
  <r>
    <x v="426"/>
    <x v="397"/>
    <x v="5"/>
    <x v="1"/>
    <x v="1"/>
    <x v="0"/>
    <x v="0"/>
    <x v="0"/>
    <x v="836"/>
    <x v="797"/>
    <x v="0"/>
  </r>
  <r>
    <x v="426"/>
    <x v="397"/>
    <x v="23"/>
    <x v="49"/>
    <x v="51"/>
    <x v="0"/>
    <x v="0"/>
    <x v="0"/>
    <x v="837"/>
    <x v="798"/>
    <x v="0"/>
  </r>
  <r>
    <x v="426"/>
    <x v="397"/>
    <x v="3"/>
    <x v="22"/>
    <x v="22"/>
    <x v="531"/>
    <x v="49"/>
    <x v="628"/>
    <x v="838"/>
    <x v="799"/>
    <x v="0"/>
  </r>
  <r>
    <x v="426"/>
    <x v="397"/>
    <x v="2"/>
    <x v="56"/>
    <x v="58"/>
    <x v="532"/>
    <x v="67"/>
    <x v="629"/>
    <x v="839"/>
    <x v="800"/>
    <x v="75"/>
  </r>
  <r>
    <x v="427"/>
    <x v="97"/>
    <x v="25"/>
    <x v="49"/>
    <x v="51"/>
    <x v="0"/>
    <x v="0"/>
    <x v="630"/>
    <x v="840"/>
    <x v="801"/>
    <x v="0"/>
  </r>
  <r>
    <x v="427"/>
    <x v="398"/>
    <x v="23"/>
    <x v="49"/>
    <x v="51"/>
    <x v="0"/>
    <x v="0"/>
    <x v="0"/>
    <x v="841"/>
    <x v="802"/>
    <x v="0"/>
  </r>
  <r>
    <x v="427"/>
    <x v="398"/>
    <x v="3"/>
    <x v="56"/>
    <x v="58"/>
    <x v="533"/>
    <x v="67"/>
    <x v="631"/>
    <x v="842"/>
    <x v="803"/>
    <x v="0"/>
  </r>
  <r>
    <x v="428"/>
    <x v="399"/>
    <x v="24"/>
    <x v="49"/>
    <x v="51"/>
    <x v="0"/>
    <x v="142"/>
    <x v="0"/>
    <x v="843"/>
    <x v="804"/>
    <x v="0"/>
  </r>
  <r>
    <x v="428"/>
    <x v="399"/>
    <x v="2"/>
    <x v="51"/>
    <x v="53"/>
    <x v="17"/>
    <x v="19"/>
    <x v="632"/>
    <x v="844"/>
    <x v="589"/>
    <x v="117"/>
  </r>
  <r>
    <x v="429"/>
    <x v="400"/>
    <x v="24"/>
    <x v="49"/>
    <x v="51"/>
    <x v="0"/>
    <x v="143"/>
    <x v="0"/>
    <x v="845"/>
    <x v="805"/>
    <x v="0"/>
  </r>
  <r>
    <x v="429"/>
    <x v="400"/>
    <x v="2"/>
    <x v="56"/>
    <x v="58"/>
    <x v="534"/>
    <x v="67"/>
    <x v="465"/>
    <x v="846"/>
    <x v="589"/>
    <x v="75"/>
  </r>
  <r>
    <x v="430"/>
    <x v="401"/>
    <x v="23"/>
    <x v="49"/>
    <x v="51"/>
    <x v="0"/>
    <x v="0"/>
    <x v="0"/>
    <x v="847"/>
    <x v="806"/>
    <x v="0"/>
  </r>
  <r>
    <x v="430"/>
    <x v="401"/>
    <x v="3"/>
    <x v="56"/>
    <x v="58"/>
    <x v="535"/>
    <x v="67"/>
    <x v="633"/>
    <x v="848"/>
    <x v="589"/>
    <x v="0"/>
  </r>
  <r>
    <x v="431"/>
    <x v="402"/>
    <x v="24"/>
    <x v="49"/>
    <x v="51"/>
    <x v="0"/>
    <x v="144"/>
    <x v="0"/>
    <x v="849"/>
    <x v="540"/>
    <x v="0"/>
  </r>
  <r>
    <x v="431"/>
    <x v="400"/>
    <x v="26"/>
    <x v="60"/>
    <x v="62"/>
    <x v="536"/>
    <x v="6"/>
    <x v="20"/>
    <x v="39"/>
    <x v="0"/>
    <x v="0"/>
  </r>
  <r>
    <x v="432"/>
    <x v="403"/>
    <x v="24"/>
    <x v="49"/>
    <x v="51"/>
    <x v="0"/>
    <x v="145"/>
    <x v="0"/>
    <x v="850"/>
    <x v="807"/>
    <x v="0"/>
  </r>
  <r>
    <x v="432"/>
    <x v="400"/>
    <x v="27"/>
    <x v="60"/>
    <x v="62"/>
    <x v="536"/>
    <x v="6"/>
    <x v="20"/>
    <x v="0"/>
    <x v="807"/>
    <x v="118"/>
  </r>
  <r>
    <x v="432"/>
    <x v="403"/>
    <x v="7"/>
    <x v="53"/>
    <x v="55"/>
    <x v="537"/>
    <x v="146"/>
    <x v="634"/>
    <x v="851"/>
    <x v="808"/>
    <x v="0"/>
  </r>
  <r>
    <x v="433"/>
    <x v="404"/>
    <x v="23"/>
    <x v="49"/>
    <x v="51"/>
    <x v="0"/>
    <x v="0"/>
    <x v="0"/>
    <x v="852"/>
    <x v="809"/>
    <x v="0"/>
  </r>
  <r>
    <x v="433"/>
    <x v="403"/>
    <x v="8"/>
    <x v="53"/>
    <x v="55"/>
    <x v="537"/>
    <x v="146"/>
    <x v="635"/>
    <x v="853"/>
    <x v="0"/>
    <x v="0"/>
  </r>
  <r>
    <x v="434"/>
    <x v="405"/>
    <x v="24"/>
    <x v="49"/>
    <x v="51"/>
    <x v="0"/>
    <x v="147"/>
    <x v="0"/>
    <x v="854"/>
    <x v="810"/>
    <x v="0"/>
  </r>
  <r>
    <x v="434"/>
    <x v="400"/>
    <x v="28"/>
    <x v="61"/>
    <x v="63"/>
    <x v="0"/>
    <x v="6"/>
    <x v="0"/>
    <x v="0"/>
    <x v="810"/>
    <x v="118"/>
  </r>
  <r>
    <x v="434"/>
    <x v="405"/>
    <x v="7"/>
    <x v="53"/>
    <x v="55"/>
    <x v="538"/>
    <x v="146"/>
    <x v="634"/>
    <x v="851"/>
    <x v="811"/>
    <x v="0"/>
  </r>
  <r>
    <x v="435"/>
    <x v="406"/>
    <x v="23"/>
    <x v="49"/>
    <x v="51"/>
    <x v="0"/>
    <x v="0"/>
    <x v="0"/>
    <x v="855"/>
    <x v="812"/>
    <x v="0"/>
  </r>
  <r>
    <x v="435"/>
    <x v="405"/>
    <x v="8"/>
    <x v="53"/>
    <x v="55"/>
    <x v="538"/>
    <x v="146"/>
    <x v="636"/>
    <x v="856"/>
    <x v="0"/>
    <x v="0"/>
  </r>
  <r>
    <x v="436"/>
    <x v="407"/>
    <x v="24"/>
    <x v="49"/>
    <x v="51"/>
    <x v="0"/>
    <x v="148"/>
    <x v="0"/>
    <x v="857"/>
    <x v="813"/>
    <x v="0"/>
  </r>
  <r>
    <x v="436"/>
    <x v="407"/>
    <x v="2"/>
    <x v="22"/>
    <x v="22"/>
    <x v="539"/>
    <x v="67"/>
    <x v="637"/>
    <x v="858"/>
    <x v="589"/>
    <x v="75"/>
  </r>
  <r>
    <x v="437"/>
    <x v="408"/>
    <x v="23"/>
    <x v="49"/>
    <x v="51"/>
    <x v="0"/>
    <x v="0"/>
    <x v="0"/>
    <x v="859"/>
    <x v="814"/>
    <x v="0"/>
  </r>
  <r>
    <x v="437"/>
    <x v="408"/>
    <x v="3"/>
    <x v="22"/>
    <x v="22"/>
    <x v="540"/>
    <x v="67"/>
    <x v="638"/>
    <x v="860"/>
    <x v="815"/>
    <x v="0"/>
  </r>
  <r>
    <x v="437"/>
    <x v="408"/>
    <x v="2"/>
    <x v="56"/>
    <x v="58"/>
    <x v="541"/>
    <x v="67"/>
    <x v="639"/>
    <x v="861"/>
    <x v="589"/>
    <x v="75"/>
  </r>
  <r>
    <x v="438"/>
    <x v="409"/>
    <x v="23"/>
    <x v="49"/>
    <x v="51"/>
    <x v="0"/>
    <x v="0"/>
    <x v="0"/>
    <x v="862"/>
    <x v="816"/>
    <x v="0"/>
  </r>
  <r>
    <x v="438"/>
    <x v="409"/>
    <x v="3"/>
    <x v="24"/>
    <x v="24"/>
    <x v="542"/>
    <x v="149"/>
    <x v="640"/>
    <x v="863"/>
    <x v="589"/>
    <x v="0"/>
  </r>
  <r>
    <x v="439"/>
    <x v="410"/>
    <x v="24"/>
    <x v="49"/>
    <x v="51"/>
    <x v="0"/>
    <x v="150"/>
    <x v="0"/>
    <x v="864"/>
    <x v="817"/>
    <x v="0"/>
  </r>
  <r>
    <x v="439"/>
    <x v="410"/>
    <x v="2"/>
    <x v="22"/>
    <x v="22"/>
    <x v="543"/>
    <x v="67"/>
    <x v="641"/>
    <x v="865"/>
    <x v="589"/>
    <x v="75"/>
  </r>
  <r>
    <x v="440"/>
    <x v="411"/>
    <x v="24"/>
    <x v="49"/>
    <x v="51"/>
    <x v="0"/>
    <x v="151"/>
    <x v="0"/>
    <x v="866"/>
    <x v="818"/>
    <x v="0"/>
  </r>
  <r>
    <x v="440"/>
    <x v="411"/>
    <x v="3"/>
    <x v="61"/>
    <x v="64"/>
    <x v="544"/>
    <x v="6"/>
    <x v="642"/>
    <x v="867"/>
    <x v="819"/>
    <x v="0"/>
  </r>
  <r>
    <x v="440"/>
    <x v="411"/>
    <x v="2"/>
    <x v="56"/>
    <x v="58"/>
    <x v="545"/>
    <x v="67"/>
    <x v="643"/>
    <x v="868"/>
    <x v="589"/>
    <x v="55"/>
  </r>
  <r>
    <x v="441"/>
    <x v="412"/>
    <x v="2"/>
    <x v="56"/>
    <x v="58"/>
    <x v="546"/>
    <x v="152"/>
    <x v="644"/>
    <x v="869"/>
    <x v="820"/>
    <x v="119"/>
  </r>
  <r>
    <x v="441"/>
    <x v="412"/>
    <x v="3"/>
    <x v="56"/>
    <x v="58"/>
    <x v="547"/>
    <x v="152"/>
    <x v="645"/>
    <x v="870"/>
    <x v="821"/>
    <x v="55"/>
  </r>
  <r>
    <x v="442"/>
    <x v="413"/>
    <x v="29"/>
    <x v="60"/>
    <x v="62"/>
    <x v="0"/>
    <x v="0"/>
    <x v="0"/>
    <x v="0"/>
    <x v="821"/>
    <x v="0"/>
  </r>
  <r>
    <x v="442"/>
    <x v="413"/>
    <x v="23"/>
    <x v="49"/>
    <x v="51"/>
    <x v="0"/>
    <x v="0"/>
    <x v="0"/>
    <x v="871"/>
    <x v="822"/>
    <x v="0"/>
  </r>
  <r>
    <x v="442"/>
    <x v="413"/>
    <x v="3"/>
    <x v="51"/>
    <x v="53"/>
    <x v="548"/>
    <x v="19"/>
    <x v="646"/>
    <x v="872"/>
    <x v="823"/>
    <x v="110"/>
  </r>
  <r>
    <x v="442"/>
    <x v="413"/>
    <x v="2"/>
    <x v="62"/>
    <x v="65"/>
    <x v="549"/>
    <x v="13"/>
    <x v="647"/>
    <x v="873"/>
    <x v="824"/>
    <x v="11"/>
  </r>
  <r>
    <x v="442"/>
    <x v="413"/>
    <x v="3"/>
    <x v="56"/>
    <x v="58"/>
    <x v="550"/>
    <x v="67"/>
    <x v="648"/>
    <x v="874"/>
    <x v="825"/>
    <x v="75"/>
  </r>
  <r>
    <x v="442"/>
    <x v="413"/>
    <x v="3"/>
    <x v="22"/>
    <x v="22"/>
    <x v="551"/>
    <x v="67"/>
    <x v="401"/>
    <x v="875"/>
    <x v="589"/>
    <x v="0"/>
  </r>
  <r>
    <x v="443"/>
    <x v="414"/>
    <x v="24"/>
    <x v="49"/>
    <x v="51"/>
    <x v="0"/>
    <x v="153"/>
    <x v="0"/>
    <x v="876"/>
    <x v="826"/>
    <x v="0"/>
  </r>
  <r>
    <x v="443"/>
    <x v="414"/>
    <x v="3"/>
    <x v="56"/>
    <x v="58"/>
    <x v="552"/>
    <x v="67"/>
    <x v="448"/>
    <x v="877"/>
    <x v="827"/>
    <x v="0"/>
  </r>
  <r>
    <x v="443"/>
    <x v="414"/>
    <x v="3"/>
    <x v="62"/>
    <x v="65"/>
    <x v="553"/>
    <x v="13"/>
    <x v="649"/>
    <x v="878"/>
    <x v="828"/>
    <x v="0"/>
  </r>
  <r>
    <x v="443"/>
    <x v="414"/>
    <x v="2"/>
    <x v="56"/>
    <x v="58"/>
    <x v="554"/>
    <x v="67"/>
    <x v="650"/>
    <x v="879"/>
    <x v="829"/>
    <x v="75"/>
  </r>
  <r>
    <x v="443"/>
    <x v="414"/>
    <x v="2"/>
    <x v="63"/>
    <x v="66"/>
    <x v="555"/>
    <x v="13"/>
    <x v="626"/>
    <x v="880"/>
    <x v="589"/>
    <x v="11"/>
  </r>
  <r>
    <x v="444"/>
    <x v="415"/>
    <x v="24"/>
    <x v="49"/>
    <x v="51"/>
    <x v="0"/>
    <x v="154"/>
    <x v="0"/>
    <x v="881"/>
    <x v="830"/>
    <x v="0"/>
  </r>
  <r>
    <x v="444"/>
    <x v="415"/>
    <x v="2"/>
    <x v="22"/>
    <x v="22"/>
    <x v="556"/>
    <x v="67"/>
    <x v="651"/>
    <x v="882"/>
    <x v="831"/>
    <x v="75"/>
  </r>
  <r>
    <x v="444"/>
    <x v="415"/>
    <x v="3"/>
    <x v="56"/>
    <x v="58"/>
    <x v="557"/>
    <x v="67"/>
    <x v="652"/>
    <x v="883"/>
    <x v="832"/>
    <x v="0"/>
  </r>
  <r>
    <x v="444"/>
    <x v="415"/>
    <x v="3"/>
    <x v="63"/>
    <x v="66"/>
    <x v="558"/>
    <x v="13"/>
    <x v="653"/>
    <x v="884"/>
    <x v="833"/>
    <x v="0"/>
  </r>
  <r>
    <x v="444"/>
    <x v="415"/>
    <x v="2"/>
    <x v="62"/>
    <x v="65"/>
    <x v="559"/>
    <x v="13"/>
    <x v="409"/>
    <x v="885"/>
    <x v="834"/>
    <x v="11"/>
  </r>
  <r>
    <x v="444"/>
    <x v="415"/>
    <x v="2"/>
    <x v="56"/>
    <x v="58"/>
    <x v="560"/>
    <x v="67"/>
    <x v="654"/>
    <x v="886"/>
    <x v="589"/>
    <x v="75"/>
  </r>
  <r>
    <x v="445"/>
    <x v="416"/>
    <x v="24"/>
    <x v="49"/>
    <x v="51"/>
    <x v="0"/>
    <x v="155"/>
    <x v="0"/>
    <x v="887"/>
    <x v="835"/>
    <x v="0"/>
  </r>
  <r>
    <x v="445"/>
    <x v="416"/>
    <x v="3"/>
    <x v="56"/>
    <x v="58"/>
    <x v="561"/>
    <x v="67"/>
    <x v="655"/>
    <x v="888"/>
    <x v="836"/>
    <x v="0"/>
  </r>
  <r>
    <x v="445"/>
    <x v="416"/>
    <x v="2"/>
    <x v="22"/>
    <x v="22"/>
    <x v="186"/>
    <x v="67"/>
    <x v="656"/>
    <x v="889"/>
    <x v="589"/>
    <x v="55"/>
  </r>
  <r>
    <x v="446"/>
    <x v="417"/>
    <x v="23"/>
    <x v="49"/>
    <x v="51"/>
    <x v="0"/>
    <x v="0"/>
    <x v="0"/>
    <x v="890"/>
    <x v="837"/>
    <x v="0"/>
  </r>
  <r>
    <x v="446"/>
    <x v="417"/>
    <x v="3"/>
    <x v="22"/>
    <x v="22"/>
    <x v="562"/>
    <x v="67"/>
    <x v="657"/>
    <x v="891"/>
    <x v="838"/>
    <x v="75"/>
  </r>
  <r>
    <x v="446"/>
    <x v="417"/>
    <x v="2"/>
    <x v="56"/>
    <x v="58"/>
    <x v="563"/>
    <x v="67"/>
    <x v="658"/>
    <x v="892"/>
    <x v="589"/>
    <x v="75"/>
  </r>
  <r>
    <x v="447"/>
    <x v="418"/>
    <x v="23"/>
    <x v="49"/>
    <x v="51"/>
    <x v="0"/>
    <x v="0"/>
    <x v="0"/>
    <x v="893"/>
    <x v="839"/>
    <x v="0"/>
  </r>
  <r>
    <x v="447"/>
    <x v="418"/>
    <x v="3"/>
    <x v="56"/>
    <x v="58"/>
    <x v="564"/>
    <x v="67"/>
    <x v="659"/>
    <x v="894"/>
    <x v="840"/>
    <x v="0"/>
  </r>
  <r>
    <x v="447"/>
    <x v="418"/>
    <x v="3"/>
    <x v="22"/>
    <x v="22"/>
    <x v="463"/>
    <x v="67"/>
    <x v="660"/>
    <x v="895"/>
    <x v="841"/>
    <x v="0"/>
  </r>
  <r>
    <x v="447"/>
    <x v="418"/>
    <x v="2"/>
    <x v="43"/>
    <x v="44"/>
    <x v="565"/>
    <x v="19"/>
    <x v="661"/>
    <x v="896"/>
    <x v="589"/>
    <x v="37"/>
  </r>
  <r>
    <x v="448"/>
    <x v="419"/>
    <x v="23"/>
    <x v="49"/>
    <x v="51"/>
    <x v="0"/>
    <x v="0"/>
    <x v="0"/>
    <x v="897"/>
    <x v="842"/>
    <x v="0"/>
  </r>
  <r>
    <x v="448"/>
    <x v="419"/>
    <x v="3"/>
    <x v="43"/>
    <x v="44"/>
    <x v="219"/>
    <x v="19"/>
    <x v="662"/>
    <x v="898"/>
    <x v="589"/>
    <x v="34"/>
  </r>
  <r>
    <x v="449"/>
    <x v="420"/>
    <x v="23"/>
    <x v="49"/>
    <x v="51"/>
    <x v="0"/>
    <x v="0"/>
    <x v="0"/>
    <x v="899"/>
    <x v="843"/>
    <x v="0"/>
  </r>
  <r>
    <x v="449"/>
    <x v="420"/>
    <x v="3"/>
    <x v="62"/>
    <x v="65"/>
    <x v="566"/>
    <x v="13"/>
    <x v="663"/>
    <x v="900"/>
    <x v="589"/>
    <x v="0"/>
  </r>
  <r>
    <x v="450"/>
    <x v="421"/>
    <x v="24"/>
    <x v="49"/>
    <x v="51"/>
    <x v="0"/>
    <x v="144"/>
    <x v="0"/>
    <x v="849"/>
    <x v="540"/>
    <x v="0"/>
  </r>
  <r>
    <x v="450"/>
    <x v="420"/>
    <x v="26"/>
    <x v="64"/>
    <x v="67"/>
    <x v="536"/>
    <x v="6"/>
    <x v="20"/>
    <x v="39"/>
    <x v="0"/>
    <x v="0"/>
  </r>
  <r>
    <x v="451"/>
    <x v="422"/>
    <x v="24"/>
    <x v="49"/>
    <x v="51"/>
    <x v="0"/>
    <x v="156"/>
    <x v="0"/>
    <x v="901"/>
    <x v="844"/>
    <x v="0"/>
  </r>
  <r>
    <x v="451"/>
    <x v="420"/>
    <x v="27"/>
    <x v="64"/>
    <x v="67"/>
    <x v="536"/>
    <x v="6"/>
    <x v="20"/>
    <x v="0"/>
    <x v="844"/>
    <x v="118"/>
  </r>
  <r>
    <x v="451"/>
    <x v="422"/>
    <x v="2"/>
    <x v="56"/>
    <x v="58"/>
    <x v="547"/>
    <x v="67"/>
    <x v="412"/>
    <x v="902"/>
    <x v="845"/>
    <x v="75"/>
  </r>
  <r>
    <x v="451"/>
    <x v="422"/>
    <x v="2"/>
    <x v="62"/>
    <x v="65"/>
    <x v="567"/>
    <x v="13"/>
    <x v="664"/>
    <x v="903"/>
    <x v="589"/>
    <x v="11"/>
  </r>
  <r>
    <x v="452"/>
    <x v="423"/>
    <x v="23"/>
    <x v="49"/>
    <x v="51"/>
    <x v="0"/>
    <x v="0"/>
    <x v="0"/>
    <x v="904"/>
    <x v="846"/>
    <x v="0"/>
  </r>
  <r>
    <x v="452"/>
    <x v="423"/>
    <x v="3"/>
    <x v="62"/>
    <x v="65"/>
    <x v="568"/>
    <x v="13"/>
    <x v="632"/>
    <x v="905"/>
    <x v="589"/>
    <x v="0"/>
  </r>
  <r>
    <x v="453"/>
    <x v="424"/>
    <x v="24"/>
    <x v="49"/>
    <x v="51"/>
    <x v="0"/>
    <x v="157"/>
    <x v="0"/>
    <x v="906"/>
    <x v="847"/>
    <x v="0"/>
  </r>
  <r>
    <x v="453"/>
    <x v="424"/>
    <x v="2"/>
    <x v="56"/>
    <x v="58"/>
    <x v="561"/>
    <x v="67"/>
    <x v="655"/>
    <x v="907"/>
    <x v="589"/>
    <x v="55"/>
  </r>
  <r>
    <x v="454"/>
    <x v="425"/>
    <x v="24"/>
    <x v="49"/>
    <x v="51"/>
    <x v="0"/>
    <x v="158"/>
    <x v="0"/>
    <x v="908"/>
    <x v="848"/>
    <x v="0"/>
  </r>
  <r>
    <x v="454"/>
    <x v="425"/>
    <x v="2"/>
    <x v="62"/>
    <x v="65"/>
    <x v="569"/>
    <x v="13"/>
    <x v="665"/>
    <x v="909"/>
    <x v="589"/>
    <x v="11"/>
  </r>
  <r>
    <x v="455"/>
    <x v="426"/>
    <x v="24"/>
    <x v="49"/>
    <x v="51"/>
    <x v="0"/>
    <x v="159"/>
    <x v="0"/>
    <x v="910"/>
    <x v="849"/>
    <x v="0"/>
  </r>
  <r>
    <x v="455"/>
    <x v="426"/>
    <x v="2"/>
    <x v="51"/>
    <x v="53"/>
    <x v="460"/>
    <x v="65"/>
    <x v="595"/>
    <x v="773"/>
    <x v="589"/>
    <x v="113"/>
  </r>
  <r>
    <x v="456"/>
    <x v="427"/>
    <x v="23"/>
    <x v="49"/>
    <x v="51"/>
    <x v="0"/>
    <x v="0"/>
    <x v="0"/>
    <x v="911"/>
    <x v="850"/>
    <x v="0"/>
  </r>
  <r>
    <x v="456"/>
    <x v="420"/>
    <x v="28"/>
    <x v="65"/>
    <x v="63"/>
    <x v="0"/>
    <x v="6"/>
    <x v="0"/>
    <x v="0"/>
    <x v="850"/>
    <x v="118"/>
  </r>
  <r>
    <x v="456"/>
    <x v="427"/>
    <x v="3"/>
    <x v="51"/>
    <x v="53"/>
    <x v="570"/>
    <x v="65"/>
    <x v="666"/>
    <x v="912"/>
    <x v="589"/>
    <x v="110"/>
  </r>
  <r>
    <x v="457"/>
    <x v="428"/>
    <x v="24"/>
    <x v="49"/>
    <x v="51"/>
    <x v="0"/>
    <x v="160"/>
    <x v="0"/>
    <x v="913"/>
    <x v="851"/>
    <x v="0"/>
  </r>
  <r>
    <x v="457"/>
    <x v="428"/>
    <x v="2"/>
    <x v="66"/>
    <x v="68"/>
    <x v="571"/>
    <x v="67"/>
    <x v="667"/>
    <x v="914"/>
    <x v="589"/>
    <x v="75"/>
  </r>
  <r>
    <x v="458"/>
    <x v="429"/>
    <x v="23"/>
    <x v="49"/>
    <x v="51"/>
    <x v="0"/>
    <x v="0"/>
    <x v="0"/>
    <x v="915"/>
    <x v="852"/>
    <x v="0"/>
  </r>
  <r>
    <x v="458"/>
    <x v="429"/>
    <x v="3"/>
    <x v="65"/>
    <x v="69"/>
    <x v="572"/>
    <x v="6"/>
    <x v="668"/>
    <x v="916"/>
    <x v="853"/>
    <x v="0"/>
  </r>
  <r>
    <x v="458"/>
    <x v="429"/>
    <x v="3"/>
    <x v="36"/>
    <x v="37"/>
    <x v="486"/>
    <x v="31"/>
    <x v="584"/>
    <x v="728"/>
    <x v="854"/>
    <x v="0"/>
  </r>
  <r>
    <x v="458"/>
    <x v="429"/>
    <x v="2"/>
    <x v="56"/>
    <x v="58"/>
    <x v="573"/>
    <x v="67"/>
    <x v="669"/>
    <x v="917"/>
    <x v="855"/>
    <x v="72"/>
  </r>
  <r>
    <x v="458"/>
    <x v="429"/>
    <x v="3"/>
    <x v="56"/>
    <x v="58"/>
    <x v="574"/>
    <x v="67"/>
    <x v="670"/>
    <x v="918"/>
    <x v="589"/>
    <x v="55"/>
  </r>
  <r>
    <x v="459"/>
    <x v="430"/>
    <x v="24"/>
    <x v="49"/>
    <x v="51"/>
    <x v="0"/>
    <x v="161"/>
    <x v="0"/>
    <x v="919"/>
    <x v="712"/>
    <x v="0"/>
  </r>
  <r>
    <x v="459"/>
    <x v="430"/>
    <x v="2"/>
    <x v="56"/>
    <x v="58"/>
    <x v="575"/>
    <x v="67"/>
    <x v="671"/>
    <x v="920"/>
    <x v="856"/>
    <x v="72"/>
  </r>
  <r>
    <x v="459"/>
    <x v="430"/>
    <x v="3"/>
    <x v="56"/>
    <x v="58"/>
    <x v="576"/>
    <x v="67"/>
    <x v="672"/>
    <x v="921"/>
    <x v="589"/>
    <x v="55"/>
  </r>
  <r>
    <x v="460"/>
    <x v="431"/>
    <x v="29"/>
    <x v="64"/>
    <x v="67"/>
    <x v="0"/>
    <x v="0"/>
    <x v="0"/>
    <x v="0"/>
    <x v="589"/>
    <x v="0"/>
  </r>
  <r>
    <x v="461"/>
    <x v="432"/>
    <x v="24"/>
    <x v="49"/>
    <x v="51"/>
    <x v="0"/>
    <x v="144"/>
    <x v="0"/>
    <x v="849"/>
    <x v="540"/>
    <x v="0"/>
  </r>
  <r>
    <x v="461"/>
    <x v="430"/>
    <x v="26"/>
    <x v="67"/>
    <x v="70"/>
    <x v="536"/>
    <x v="6"/>
    <x v="20"/>
    <x v="39"/>
    <x v="0"/>
    <x v="0"/>
  </r>
  <r>
    <x v="462"/>
    <x v="433"/>
    <x v="24"/>
    <x v="49"/>
    <x v="51"/>
    <x v="0"/>
    <x v="162"/>
    <x v="0"/>
    <x v="922"/>
    <x v="857"/>
    <x v="0"/>
  </r>
  <r>
    <x v="462"/>
    <x v="430"/>
    <x v="27"/>
    <x v="67"/>
    <x v="70"/>
    <x v="536"/>
    <x v="6"/>
    <x v="20"/>
    <x v="0"/>
    <x v="857"/>
    <x v="118"/>
  </r>
  <r>
    <x v="462"/>
    <x v="433"/>
    <x v="2"/>
    <x v="56"/>
    <x v="58"/>
    <x v="577"/>
    <x v="67"/>
    <x v="673"/>
    <x v="923"/>
    <x v="858"/>
    <x v="72"/>
  </r>
  <r>
    <x v="462"/>
    <x v="431"/>
    <x v="26"/>
    <x v="68"/>
    <x v="71"/>
    <x v="578"/>
    <x v="13"/>
    <x v="674"/>
    <x v="924"/>
    <x v="859"/>
    <x v="0"/>
  </r>
  <r>
    <x v="462"/>
    <x v="431"/>
    <x v="26"/>
    <x v="69"/>
    <x v="72"/>
    <x v="536"/>
    <x v="6"/>
    <x v="20"/>
    <x v="39"/>
    <x v="589"/>
    <x v="0"/>
  </r>
  <r>
    <x v="463"/>
    <x v="434"/>
    <x v="23"/>
    <x v="49"/>
    <x v="51"/>
    <x v="0"/>
    <x v="0"/>
    <x v="0"/>
    <x v="925"/>
    <x v="860"/>
    <x v="0"/>
  </r>
  <r>
    <x v="463"/>
    <x v="431"/>
    <x v="27"/>
    <x v="68"/>
    <x v="71"/>
    <x v="578"/>
    <x v="13"/>
    <x v="674"/>
    <x v="0"/>
    <x v="860"/>
    <x v="11"/>
  </r>
  <r>
    <x v="463"/>
    <x v="431"/>
    <x v="27"/>
    <x v="69"/>
    <x v="72"/>
    <x v="536"/>
    <x v="6"/>
    <x v="20"/>
    <x v="0"/>
    <x v="860"/>
    <x v="118"/>
  </r>
  <r>
    <x v="463"/>
    <x v="434"/>
    <x v="3"/>
    <x v="56"/>
    <x v="58"/>
    <x v="579"/>
    <x v="67"/>
    <x v="675"/>
    <x v="926"/>
    <x v="589"/>
    <x v="55"/>
  </r>
  <r>
    <x v="464"/>
    <x v="435"/>
    <x v="24"/>
    <x v="49"/>
    <x v="51"/>
    <x v="0"/>
    <x v="94"/>
    <x v="0"/>
    <x v="606"/>
    <x v="621"/>
    <x v="0"/>
  </r>
  <r>
    <x v="464"/>
    <x v="430"/>
    <x v="28"/>
    <x v="70"/>
    <x v="63"/>
    <x v="0"/>
    <x v="6"/>
    <x v="0"/>
    <x v="0"/>
    <x v="621"/>
    <x v="118"/>
  </r>
  <r>
    <x v="464"/>
    <x v="435"/>
    <x v="2"/>
    <x v="66"/>
    <x v="68"/>
    <x v="580"/>
    <x v="67"/>
    <x v="503"/>
    <x v="607"/>
    <x v="589"/>
    <x v="55"/>
  </r>
  <r>
    <x v="465"/>
    <x v="431"/>
    <x v="28"/>
    <x v="71"/>
    <x v="63"/>
    <x v="0"/>
    <x v="13"/>
    <x v="0"/>
    <x v="0"/>
    <x v="589"/>
    <x v="11"/>
  </r>
  <r>
    <x v="466"/>
    <x v="436"/>
    <x v="23"/>
    <x v="49"/>
    <x v="51"/>
    <x v="0"/>
    <x v="0"/>
    <x v="0"/>
    <x v="927"/>
    <x v="861"/>
    <x v="0"/>
  </r>
  <r>
    <x v="466"/>
    <x v="436"/>
    <x v="3"/>
    <x v="66"/>
    <x v="68"/>
    <x v="581"/>
    <x v="49"/>
    <x v="578"/>
    <x v="928"/>
    <x v="589"/>
    <x v="0"/>
  </r>
  <r>
    <x v="467"/>
    <x v="437"/>
    <x v="21"/>
    <x v="23"/>
    <x v="26"/>
    <x v="0"/>
    <x v="163"/>
    <x v="0"/>
    <x v="0"/>
    <x v="589"/>
    <x v="120"/>
  </r>
  <r>
    <x v="468"/>
    <x v="438"/>
    <x v="1"/>
    <x v="1"/>
    <x v="1"/>
    <x v="0"/>
    <x v="0"/>
    <x v="0"/>
    <x v="929"/>
    <x v="862"/>
    <x v="0"/>
  </r>
  <r>
    <x v="468"/>
    <x v="438"/>
    <x v="5"/>
    <x v="1"/>
    <x v="1"/>
    <x v="0"/>
    <x v="0"/>
    <x v="0"/>
    <x v="930"/>
    <x v="863"/>
    <x v="0"/>
  </r>
  <r>
    <x v="468"/>
    <x v="438"/>
    <x v="23"/>
    <x v="49"/>
    <x v="51"/>
    <x v="0"/>
    <x v="0"/>
    <x v="0"/>
    <x v="931"/>
    <x v="864"/>
    <x v="0"/>
  </r>
  <r>
    <x v="468"/>
    <x v="438"/>
    <x v="3"/>
    <x v="62"/>
    <x v="65"/>
    <x v="582"/>
    <x v="13"/>
    <x v="676"/>
    <x v="932"/>
    <x v="865"/>
    <x v="0"/>
  </r>
  <r>
    <x v="469"/>
    <x v="439"/>
    <x v="30"/>
    <x v="72"/>
    <x v="73"/>
    <x v="0"/>
    <x v="0"/>
    <x v="44"/>
    <x v="933"/>
    <x v="866"/>
    <x v="0"/>
  </r>
  <r>
    <x v="469"/>
    <x v="439"/>
    <x v="4"/>
    <x v="1"/>
    <x v="1"/>
    <x v="0"/>
    <x v="0"/>
    <x v="0"/>
    <x v="62"/>
    <x v="865"/>
    <x v="0"/>
  </r>
  <r>
    <x v="469"/>
    <x v="439"/>
    <x v="31"/>
    <x v="49"/>
    <x v="51"/>
    <x v="0"/>
    <x v="62"/>
    <x v="44"/>
    <x v="933"/>
    <x v="866"/>
    <x v="0"/>
  </r>
  <r>
    <x v="469"/>
    <x v="97"/>
    <x v="25"/>
    <x v="49"/>
    <x v="51"/>
    <x v="0"/>
    <x v="0"/>
    <x v="677"/>
    <x v="934"/>
    <x v="867"/>
    <x v="0"/>
  </r>
  <r>
    <x v="469"/>
    <x v="439"/>
    <x v="23"/>
    <x v="49"/>
    <x v="51"/>
    <x v="0"/>
    <x v="0"/>
    <x v="0"/>
    <x v="935"/>
    <x v="868"/>
    <x v="0"/>
  </r>
  <r>
    <x v="469"/>
    <x v="439"/>
    <x v="30"/>
    <x v="72"/>
    <x v="73"/>
    <x v="0"/>
    <x v="0"/>
    <x v="0"/>
    <x v="62"/>
    <x v="869"/>
    <x v="0"/>
  </r>
  <r>
    <x v="469"/>
    <x v="439"/>
    <x v="3"/>
    <x v="71"/>
    <x v="74"/>
    <x v="583"/>
    <x v="13"/>
    <x v="678"/>
    <x v="936"/>
    <x v="870"/>
    <x v="0"/>
  </r>
  <r>
    <x v="469"/>
    <x v="439"/>
    <x v="3"/>
    <x v="56"/>
    <x v="58"/>
    <x v="495"/>
    <x v="67"/>
    <x v="679"/>
    <x v="937"/>
    <x v="871"/>
    <x v="75"/>
  </r>
  <r>
    <x v="470"/>
    <x v="97"/>
    <x v="9"/>
    <x v="51"/>
    <x v="53"/>
    <x v="0"/>
    <x v="0"/>
    <x v="0"/>
    <x v="938"/>
    <x v="872"/>
    <x v="0"/>
  </r>
  <r>
    <x v="471"/>
    <x v="440"/>
    <x v="24"/>
    <x v="49"/>
    <x v="51"/>
    <x v="0"/>
    <x v="164"/>
    <x v="0"/>
    <x v="939"/>
    <x v="873"/>
    <x v="0"/>
  </r>
  <r>
    <x v="471"/>
    <x v="440"/>
    <x v="2"/>
    <x v="62"/>
    <x v="65"/>
    <x v="584"/>
    <x v="13"/>
    <x v="680"/>
    <x v="940"/>
    <x v="589"/>
    <x v="11"/>
  </r>
  <r>
    <x v="472"/>
    <x v="431"/>
    <x v="28"/>
    <x v="73"/>
    <x v="63"/>
    <x v="0"/>
    <x v="6"/>
    <x v="0"/>
    <x v="0"/>
    <x v="589"/>
    <x v="118"/>
  </r>
  <r>
    <x v="473"/>
    <x v="441"/>
    <x v="29"/>
    <x v="67"/>
    <x v="70"/>
    <x v="0"/>
    <x v="0"/>
    <x v="0"/>
    <x v="0"/>
    <x v="589"/>
    <x v="0"/>
  </r>
  <r>
    <x v="474"/>
    <x v="442"/>
    <x v="24"/>
    <x v="49"/>
    <x v="51"/>
    <x v="0"/>
    <x v="165"/>
    <x v="0"/>
    <x v="941"/>
    <x v="874"/>
    <x v="0"/>
  </r>
  <r>
    <x v="474"/>
    <x v="442"/>
    <x v="2"/>
    <x v="22"/>
    <x v="22"/>
    <x v="585"/>
    <x v="49"/>
    <x v="681"/>
    <x v="942"/>
    <x v="875"/>
    <x v="55"/>
  </r>
  <r>
    <x v="474"/>
    <x v="442"/>
    <x v="7"/>
    <x v="53"/>
    <x v="55"/>
    <x v="586"/>
    <x v="166"/>
    <x v="682"/>
    <x v="943"/>
    <x v="876"/>
    <x v="0"/>
  </r>
  <r>
    <x v="475"/>
    <x v="443"/>
    <x v="23"/>
    <x v="49"/>
    <x v="51"/>
    <x v="0"/>
    <x v="0"/>
    <x v="0"/>
    <x v="944"/>
    <x v="877"/>
    <x v="0"/>
  </r>
  <r>
    <x v="475"/>
    <x v="442"/>
    <x v="8"/>
    <x v="53"/>
    <x v="55"/>
    <x v="586"/>
    <x v="166"/>
    <x v="683"/>
    <x v="945"/>
    <x v="0"/>
    <x v="0"/>
  </r>
  <r>
    <x v="476"/>
    <x v="444"/>
    <x v="23"/>
    <x v="49"/>
    <x v="51"/>
    <x v="0"/>
    <x v="0"/>
    <x v="0"/>
    <x v="946"/>
    <x v="878"/>
    <x v="0"/>
  </r>
  <r>
    <x v="476"/>
    <x v="444"/>
    <x v="3"/>
    <x v="22"/>
    <x v="22"/>
    <x v="478"/>
    <x v="49"/>
    <x v="684"/>
    <x v="947"/>
    <x v="589"/>
    <x v="0"/>
  </r>
  <r>
    <x v="477"/>
    <x v="445"/>
    <x v="24"/>
    <x v="49"/>
    <x v="51"/>
    <x v="0"/>
    <x v="95"/>
    <x v="0"/>
    <x v="948"/>
    <x v="879"/>
    <x v="0"/>
  </r>
  <r>
    <x v="477"/>
    <x v="445"/>
    <x v="2"/>
    <x v="62"/>
    <x v="65"/>
    <x v="587"/>
    <x v="13"/>
    <x v="504"/>
    <x v="949"/>
    <x v="589"/>
    <x v="19"/>
  </r>
  <r>
    <x v="478"/>
    <x v="446"/>
    <x v="23"/>
    <x v="49"/>
    <x v="51"/>
    <x v="0"/>
    <x v="0"/>
    <x v="0"/>
    <x v="950"/>
    <x v="880"/>
    <x v="0"/>
  </r>
  <r>
    <x v="478"/>
    <x v="446"/>
    <x v="3"/>
    <x v="62"/>
    <x v="65"/>
    <x v="588"/>
    <x v="13"/>
    <x v="246"/>
    <x v="951"/>
    <x v="881"/>
    <x v="11"/>
  </r>
  <r>
    <x v="478"/>
    <x v="447"/>
    <x v="26"/>
    <x v="74"/>
    <x v="75"/>
    <x v="589"/>
    <x v="3"/>
    <x v="685"/>
    <x v="952"/>
    <x v="589"/>
    <x v="0"/>
  </r>
  <r>
    <x v="479"/>
    <x v="448"/>
    <x v="24"/>
    <x v="49"/>
    <x v="51"/>
    <x v="0"/>
    <x v="167"/>
    <x v="0"/>
    <x v="953"/>
    <x v="882"/>
    <x v="0"/>
  </r>
  <r>
    <x v="479"/>
    <x v="447"/>
    <x v="27"/>
    <x v="74"/>
    <x v="75"/>
    <x v="589"/>
    <x v="3"/>
    <x v="685"/>
    <x v="0"/>
    <x v="882"/>
    <x v="3"/>
  </r>
  <r>
    <x v="479"/>
    <x v="448"/>
    <x v="2"/>
    <x v="22"/>
    <x v="22"/>
    <x v="590"/>
    <x v="49"/>
    <x v="686"/>
    <x v="954"/>
    <x v="589"/>
    <x v="55"/>
  </r>
  <r>
    <x v="480"/>
    <x v="449"/>
    <x v="23"/>
    <x v="49"/>
    <x v="51"/>
    <x v="0"/>
    <x v="0"/>
    <x v="0"/>
    <x v="955"/>
    <x v="883"/>
    <x v="0"/>
  </r>
  <r>
    <x v="480"/>
    <x v="447"/>
    <x v="28"/>
    <x v="74"/>
    <x v="75"/>
    <x v="589"/>
    <x v="3"/>
    <x v="0"/>
    <x v="0"/>
    <x v="883"/>
    <x v="3"/>
  </r>
  <r>
    <x v="480"/>
    <x v="449"/>
    <x v="3"/>
    <x v="22"/>
    <x v="22"/>
    <x v="591"/>
    <x v="49"/>
    <x v="687"/>
    <x v="956"/>
    <x v="884"/>
    <x v="0"/>
  </r>
  <r>
    <x v="480"/>
    <x v="449"/>
    <x v="2"/>
    <x v="62"/>
    <x v="65"/>
    <x v="592"/>
    <x v="13"/>
    <x v="688"/>
    <x v="957"/>
    <x v="589"/>
    <x v="19"/>
  </r>
  <r>
    <x v="481"/>
    <x v="450"/>
    <x v="23"/>
    <x v="49"/>
    <x v="51"/>
    <x v="0"/>
    <x v="0"/>
    <x v="0"/>
    <x v="958"/>
    <x v="885"/>
    <x v="0"/>
  </r>
  <r>
    <x v="481"/>
    <x v="450"/>
    <x v="3"/>
    <x v="62"/>
    <x v="65"/>
    <x v="593"/>
    <x v="13"/>
    <x v="689"/>
    <x v="959"/>
    <x v="886"/>
    <x v="11"/>
  </r>
  <r>
    <x v="481"/>
    <x v="450"/>
    <x v="2"/>
    <x v="56"/>
    <x v="58"/>
    <x v="576"/>
    <x v="67"/>
    <x v="672"/>
    <x v="960"/>
    <x v="589"/>
    <x v="55"/>
  </r>
  <r>
    <x v="482"/>
    <x v="451"/>
    <x v="23"/>
    <x v="49"/>
    <x v="51"/>
    <x v="0"/>
    <x v="0"/>
    <x v="0"/>
    <x v="961"/>
    <x v="887"/>
    <x v="0"/>
  </r>
  <r>
    <x v="482"/>
    <x v="451"/>
    <x v="3"/>
    <x v="73"/>
    <x v="76"/>
    <x v="594"/>
    <x v="6"/>
    <x v="690"/>
    <x v="962"/>
    <x v="589"/>
    <x v="0"/>
  </r>
  <r>
    <x v="483"/>
    <x v="452"/>
    <x v="29"/>
    <x v="69"/>
    <x v="72"/>
    <x v="0"/>
    <x v="0"/>
    <x v="0"/>
    <x v="0"/>
    <x v="589"/>
    <x v="0"/>
  </r>
  <r>
    <x v="483"/>
    <x v="452"/>
    <x v="24"/>
    <x v="49"/>
    <x v="51"/>
    <x v="0"/>
    <x v="168"/>
    <x v="0"/>
    <x v="963"/>
    <x v="888"/>
    <x v="0"/>
  </r>
  <r>
    <x v="483"/>
    <x v="452"/>
    <x v="2"/>
    <x v="62"/>
    <x v="65"/>
    <x v="595"/>
    <x v="13"/>
    <x v="579"/>
    <x v="964"/>
    <x v="589"/>
    <x v="19"/>
  </r>
  <r>
    <x v="484"/>
    <x v="453"/>
    <x v="24"/>
    <x v="49"/>
    <x v="51"/>
    <x v="0"/>
    <x v="169"/>
    <x v="0"/>
    <x v="965"/>
    <x v="889"/>
    <x v="0"/>
  </r>
  <r>
    <x v="484"/>
    <x v="453"/>
    <x v="2"/>
    <x v="62"/>
    <x v="65"/>
    <x v="596"/>
    <x v="13"/>
    <x v="691"/>
    <x v="966"/>
    <x v="890"/>
    <x v="20"/>
  </r>
  <r>
    <x v="484"/>
    <x v="453"/>
    <x v="3"/>
    <x v="62"/>
    <x v="65"/>
    <x v="44"/>
    <x v="13"/>
    <x v="574"/>
    <x v="967"/>
    <x v="891"/>
    <x v="19"/>
  </r>
  <r>
    <x v="484"/>
    <x v="453"/>
    <x v="2"/>
    <x v="62"/>
    <x v="65"/>
    <x v="597"/>
    <x v="13"/>
    <x v="284"/>
    <x v="968"/>
    <x v="730"/>
    <x v="20"/>
  </r>
  <r>
    <x v="485"/>
    <x v="454"/>
    <x v="23"/>
    <x v="49"/>
    <x v="51"/>
    <x v="0"/>
    <x v="0"/>
    <x v="0"/>
    <x v="969"/>
    <x v="892"/>
    <x v="0"/>
  </r>
  <r>
    <x v="485"/>
    <x v="454"/>
    <x v="3"/>
    <x v="62"/>
    <x v="65"/>
    <x v="44"/>
    <x v="26"/>
    <x v="692"/>
    <x v="970"/>
    <x v="893"/>
    <x v="11"/>
  </r>
  <r>
    <x v="486"/>
    <x v="455"/>
    <x v="24"/>
    <x v="49"/>
    <x v="51"/>
    <x v="0"/>
    <x v="170"/>
    <x v="0"/>
    <x v="971"/>
    <x v="894"/>
    <x v="0"/>
  </r>
  <r>
    <x v="486"/>
    <x v="455"/>
    <x v="2"/>
    <x v="62"/>
    <x v="65"/>
    <x v="598"/>
    <x v="13"/>
    <x v="693"/>
    <x v="972"/>
    <x v="895"/>
    <x v="19"/>
  </r>
  <r>
    <x v="486"/>
    <x v="455"/>
    <x v="2"/>
    <x v="22"/>
    <x v="22"/>
    <x v="599"/>
    <x v="67"/>
    <x v="694"/>
    <x v="973"/>
    <x v="621"/>
    <x v="75"/>
  </r>
  <r>
    <x v="486"/>
    <x v="455"/>
    <x v="2"/>
    <x v="66"/>
    <x v="68"/>
    <x v="580"/>
    <x v="67"/>
    <x v="503"/>
    <x v="607"/>
    <x v="589"/>
    <x v="75"/>
  </r>
  <r>
    <x v="487"/>
    <x v="456"/>
    <x v="1"/>
    <x v="1"/>
    <x v="1"/>
    <x v="0"/>
    <x v="0"/>
    <x v="0"/>
    <x v="933"/>
    <x v="896"/>
    <x v="0"/>
  </r>
  <r>
    <x v="487"/>
    <x v="456"/>
    <x v="23"/>
    <x v="49"/>
    <x v="51"/>
    <x v="0"/>
    <x v="0"/>
    <x v="0"/>
    <x v="974"/>
    <x v="897"/>
    <x v="0"/>
  </r>
  <r>
    <x v="487"/>
    <x v="456"/>
    <x v="3"/>
    <x v="66"/>
    <x v="68"/>
    <x v="600"/>
    <x v="67"/>
    <x v="695"/>
    <x v="975"/>
    <x v="898"/>
    <x v="0"/>
  </r>
  <r>
    <x v="487"/>
    <x v="456"/>
    <x v="3"/>
    <x v="56"/>
    <x v="58"/>
    <x v="576"/>
    <x v="67"/>
    <x v="672"/>
    <x v="921"/>
    <x v="899"/>
    <x v="75"/>
  </r>
  <r>
    <x v="487"/>
    <x v="456"/>
    <x v="2"/>
    <x v="62"/>
    <x v="65"/>
    <x v="601"/>
    <x v="13"/>
    <x v="696"/>
    <x v="976"/>
    <x v="900"/>
    <x v="20"/>
  </r>
  <r>
    <x v="487"/>
    <x v="456"/>
    <x v="2"/>
    <x v="22"/>
    <x v="22"/>
    <x v="602"/>
    <x v="67"/>
    <x v="436"/>
    <x v="977"/>
    <x v="901"/>
    <x v="55"/>
  </r>
  <r>
    <x v="487"/>
    <x v="456"/>
    <x v="3"/>
    <x v="62"/>
    <x v="65"/>
    <x v="603"/>
    <x v="13"/>
    <x v="697"/>
    <x v="978"/>
    <x v="902"/>
    <x v="19"/>
  </r>
  <r>
    <x v="487"/>
    <x v="456"/>
    <x v="3"/>
    <x v="22"/>
    <x v="22"/>
    <x v="604"/>
    <x v="67"/>
    <x v="698"/>
    <x v="979"/>
    <x v="589"/>
    <x v="75"/>
  </r>
  <r>
    <x v="488"/>
    <x v="457"/>
    <x v="24"/>
    <x v="49"/>
    <x v="51"/>
    <x v="0"/>
    <x v="171"/>
    <x v="0"/>
    <x v="980"/>
    <x v="903"/>
    <x v="0"/>
  </r>
  <r>
    <x v="488"/>
    <x v="457"/>
    <x v="2"/>
    <x v="22"/>
    <x v="22"/>
    <x v="605"/>
    <x v="67"/>
    <x v="699"/>
    <x v="981"/>
    <x v="904"/>
    <x v="55"/>
  </r>
  <r>
    <x v="488"/>
    <x v="457"/>
    <x v="2"/>
    <x v="62"/>
    <x v="65"/>
    <x v="606"/>
    <x v="13"/>
    <x v="700"/>
    <x v="982"/>
    <x v="905"/>
    <x v="20"/>
  </r>
  <r>
    <x v="488"/>
    <x v="457"/>
    <x v="2"/>
    <x v="51"/>
    <x v="53"/>
    <x v="607"/>
    <x v="18"/>
    <x v="701"/>
    <x v="983"/>
    <x v="906"/>
    <x v="121"/>
  </r>
  <r>
    <x v="489"/>
    <x v="458"/>
    <x v="1"/>
    <x v="1"/>
    <x v="1"/>
    <x v="0"/>
    <x v="0"/>
    <x v="0"/>
    <x v="984"/>
    <x v="907"/>
    <x v="0"/>
  </r>
  <r>
    <x v="489"/>
    <x v="458"/>
    <x v="1"/>
    <x v="1"/>
    <x v="1"/>
    <x v="0"/>
    <x v="0"/>
    <x v="0"/>
    <x v="129"/>
    <x v="908"/>
    <x v="0"/>
  </r>
  <r>
    <x v="489"/>
    <x v="456"/>
    <x v="26"/>
    <x v="75"/>
    <x v="77"/>
    <x v="608"/>
    <x v="13"/>
    <x v="702"/>
    <x v="985"/>
    <x v="909"/>
    <x v="0"/>
  </r>
  <r>
    <x v="490"/>
    <x v="456"/>
    <x v="27"/>
    <x v="75"/>
    <x v="77"/>
    <x v="608"/>
    <x v="13"/>
    <x v="702"/>
    <x v="0"/>
    <x v="909"/>
    <x v="11"/>
  </r>
  <r>
    <x v="490"/>
    <x v="459"/>
    <x v="3"/>
    <x v="62"/>
    <x v="65"/>
    <x v="609"/>
    <x v="13"/>
    <x v="703"/>
    <x v="986"/>
    <x v="910"/>
    <x v="19"/>
  </r>
  <r>
    <x v="490"/>
    <x v="459"/>
    <x v="3"/>
    <x v="56"/>
    <x v="58"/>
    <x v="610"/>
    <x v="67"/>
    <x v="704"/>
    <x v="987"/>
    <x v="911"/>
    <x v="0"/>
  </r>
  <r>
    <x v="490"/>
    <x v="459"/>
    <x v="2"/>
    <x v="51"/>
    <x v="53"/>
    <x v="611"/>
    <x v="22"/>
    <x v="705"/>
    <x v="988"/>
    <x v="912"/>
    <x v="113"/>
  </r>
  <r>
    <x v="490"/>
    <x v="459"/>
    <x v="2"/>
    <x v="62"/>
    <x v="65"/>
    <x v="612"/>
    <x v="13"/>
    <x v="706"/>
    <x v="989"/>
    <x v="913"/>
    <x v="20"/>
  </r>
  <r>
    <x v="491"/>
    <x v="460"/>
    <x v="3"/>
    <x v="22"/>
    <x v="22"/>
    <x v="613"/>
    <x v="49"/>
    <x v="707"/>
    <x v="990"/>
    <x v="914"/>
    <x v="0"/>
  </r>
  <r>
    <x v="491"/>
    <x v="460"/>
    <x v="3"/>
    <x v="62"/>
    <x v="65"/>
    <x v="614"/>
    <x v="65"/>
    <x v="708"/>
    <x v="991"/>
    <x v="915"/>
    <x v="0"/>
  </r>
  <r>
    <x v="491"/>
    <x v="460"/>
    <x v="2"/>
    <x v="62"/>
    <x v="65"/>
    <x v="615"/>
    <x v="13"/>
    <x v="709"/>
    <x v="992"/>
    <x v="916"/>
    <x v="11"/>
  </r>
  <r>
    <x v="491"/>
    <x v="460"/>
    <x v="2"/>
    <x v="22"/>
    <x v="22"/>
    <x v="616"/>
    <x v="67"/>
    <x v="710"/>
    <x v="993"/>
    <x v="917"/>
    <x v="75"/>
  </r>
  <r>
    <x v="491"/>
    <x v="460"/>
    <x v="2"/>
    <x v="44"/>
    <x v="45"/>
    <x v="617"/>
    <x v="172"/>
    <x v="711"/>
    <x v="994"/>
    <x v="918"/>
    <x v="122"/>
  </r>
  <r>
    <x v="492"/>
    <x v="461"/>
    <x v="1"/>
    <x v="1"/>
    <x v="1"/>
    <x v="0"/>
    <x v="0"/>
    <x v="0"/>
    <x v="995"/>
    <x v="919"/>
    <x v="0"/>
  </r>
  <r>
    <x v="492"/>
    <x v="461"/>
    <x v="23"/>
    <x v="49"/>
    <x v="51"/>
    <x v="0"/>
    <x v="0"/>
    <x v="0"/>
    <x v="996"/>
    <x v="920"/>
    <x v="0"/>
  </r>
  <r>
    <x v="492"/>
    <x v="461"/>
    <x v="3"/>
    <x v="62"/>
    <x v="65"/>
    <x v="618"/>
    <x v="13"/>
    <x v="712"/>
    <x v="997"/>
    <x v="921"/>
    <x v="0"/>
  </r>
  <r>
    <x v="492"/>
    <x v="461"/>
    <x v="3"/>
    <x v="22"/>
    <x v="22"/>
    <x v="619"/>
    <x v="67"/>
    <x v="713"/>
    <x v="998"/>
    <x v="922"/>
    <x v="0"/>
  </r>
  <r>
    <x v="492"/>
    <x v="461"/>
    <x v="2"/>
    <x v="57"/>
    <x v="59"/>
    <x v="620"/>
    <x v="3"/>
    <x v="714"/>
    <x v="999"/>
    <x v="589"/>
    <x v="3"/>
  </r>
  <r>
    <x v="493"/>
    <x v="462"/>
    <x v="23"/>
    <x v="49"/>
    <x v="51"/>
    <x v="0"/>
    <x v="0"/>
    <x v="0"/>
    <x v="1000"/>
    <x v="923"/>
    <x v="0"/>
  </r>
  <r>
    <x v="493"/>
    <x v="456"/>
    <x v="28"/>
    <x v="76"/>
    <x v="63"/>
    <x v="608"/>
    <x v="13"/>
    <x v="0"/>
    <x v="0"/>
    <x v="923"/>
    <x v="11"/>
  </r>
  <r>
    <x v="493"/>
    <x v="462"/>
    <x v="3"/>
    <x v="74"/>
    <x v="75"/>
    <x v="621"/>
    <x v="3"/>
    <x v="715"/>
    <x v="1001"/>
    <x v="924"/>
    <x v="0"/>
  </r>
  <r>
    <x v="493"/>
    <x v="462"/>
    <x v="3"/>
    <x v="44"/>
    <x v="45"/>
    <x v="622"/>
    <x v="172"/>
    <x v="716"/>
    <x v="1002"/>
    <x v="925"/>
    <x v="0"/>
  </r>
  <r>
    <x v="493"/>
    <x v="462"/>
    <x v="2"/>
    <x v="62"/>
    <x v="65"/>
    <x v="623"/>
    <x v="26"/>
    <x v="717"/>
    <x v="1003"/>
    <x v="926"/>
    <x v="19"/>
  </r>
  <r>
    <x v="493"/>
    <x v="462"/>
    <x v="3"/>
    <x v="57"/>
    <x v="59"/>
    <x v="624"/>
    <x v="3"/>
    <x v="718"/>
    <x v="1004"/>
    <x v="927"/>
    <x v="0"/>
  </r>
  <r>
    <x v="493"/>
    <x v="462"/>
    <x v="2"/>
    <x v="56"/>
    <x v="58"/>
    <x v="625"/>
    <x v="49"/>
    <x v="719"/>
    <x v="1005"/>
    <x v="928"/>
    <x v="55"/>
  </r>
  <r>
    <x v="493"/>
    <x v="462"/>
    <x v="3"/>
    <x v="51"/>
    <x v="53"/>
    <x v="466"/>
    <x v="65"/>
    <x v="561"/>
    <x v="1006"/>
    <x v="589"/>
    <x v="110"/>
  </r>
  <r>
    <x v="494"/>
    <x v="463"/>
    <x v="23"/>
    <x v="49"/>
    <x v="51"/>
    <x v="0"/>
    <x v="0"/>
    <x v="0"/>
    <x v="1007"/>
    <x v="929"/>
    <x v="0"/>
  </r>
  <r>
    <x v="494"/>
    <x v="463"/>
    <x v="3"/>
    <x v="56"/>
    <x v="58"/>
    <x v="626"/>
    <x v="49"/>
    <x v="720"/>
    <x v="1008"/>
    <x v="930"/>
    <x v="0"/>
  </r>
  <r>
    <x v="495"/>
    <x v="97"/>
    <x v="9"/>
    <x v="51"/>
    <x v="53"/>
    <x v="0"/>
    <x v="0"/>
    <x v="0"/>
    <x v="938"/>
    <x v="589"/>
    <x v="0"/>
  </r>
  <r>
    <x v="495"/>
    <x v="464"/>
    <x v="23"/>
    <x v="49"/>
    <x v="51"/>
    <x v="0"/>
    <x v="0"/>
    <x v="0"/>
    <x v="1009"/>
    <x v="931"/>
    <x v="0"/>
  </r>
  <r>
    <x v="495"/>
    <x v="464"/>
    <x v="3"/>
    <x v="62"/>
    <x v="65"/>
    <x v="627"/>
    <x v="26"/>
    <x v="721"/>
    <x v="1010"/>
    <x v="932"/>
    <x v="0"/>
  </r>
  <r>
    <x v="496"/>
    <x v="465"/>
    <x v="24"/>
    <x v="49"/>
    <x v="51"/>
    <x v="0"/>
    <x v="173"/>
    <x v="0"/>
    <x v="1011"/>
    <x v="933"/>
    <x v="0"/>
  </r>
  <r>
    <x v="496"/>
    <x v="465"/>
    <x v="2"/>
    <x v="56"/>
    <x v="58"/>
    <x v="628"/>
    <x v="67"/>
    <x v="722"/>
    <x v="1012"/>
    <x v="589"/>
    <x v="75"/>
  </r>
  <r>
    <x v="497"/>
    <x v="466"/>
    <x v="24"/>
    <x v="49"/>
    <x v="51"/>
    <x v="0"/>
    <x v="174"/>
    <x v="0"/>
    <x v="1013"/>
    <x v="934"/>
    <x v="0"/>
  </r>
  <r>
    <x v="497"/>
    <x v="466"/>
    <x v="2"/>
    <x v="56"/>
    <x v="58"/>
    <x v="629"/>
    <x v="67"/>
    <x v="723"/>
    <x v="1014"/>
    <x v="589"/>
    <x v="55"/>
  </r>
  <r>
    <x v="498"/>
    <x v="467"/>
    <x v="24"/>
    <x v="49"/>
    <x v="51"/>
    <x v="0"/>
    <x v="175"/>
    <x v="0"/>
    <x v="1015"/>
    <x v="935"/>
    <x v="0"/>
  </r>
  <r>
    <x v="498"/>
    <x v="467"/>
    <x v="2"/>
    <x v="56"/>
    <x v="58"/>
    <x v="471"/>
    <x v="67"/>
    <x v="568"/>
    <x v="1016"/>
    <x v="936"/>
    <x v="72"/>
  </r>
  <r>
    <x v="498"/>
    <x v="467"/>
    <x v="3"/>
    <x v="56"/>
    <x v="58"/>
    <x v="630"/>
    <x v="49"/>
    <x v="402"/>
    <x v="1017"/>
    <x v="937"/>
    <x v="75"/>
  </r>
  <r>
    <x v="498"/>
    <x v="467"/>
    <x v="2"/>
    <x v="62"/>
    <x v="65"/>
    <x v="631"/>
    <x v="13"/>
    <x v="650"/>
    <x v="879"/>
    <x v="938"/>
    <x v="11"/>
  </r>
  <r>
    <x v="498"/>
    <x v="467"/>
    <x v="2"/>
    <x v="51"/>
    <x v="53"/>
    <x v="401"/>
    <x v="17"/>
    <x v="724"/>
    <x v="1018"/>
    <x v="939"/>
    <x v="123"/>
  </r>
  <r>
    <x v="498"/>
    <x v="467"/>
    <x v="2"/>
    <x v="56"/>
    <x v="58"/>
    <x v="580"/>
    <x v="67"/>
    <x v="725"/>
    <x v="1019"/>
    <x v="589"/>
    <x v="55"/>
  </r>
  <r>
    <x v="499"/>
    <x v="468"/>
    <x v="24"/>
    <x v="49"/>
    <x v="51"/>
    <x v="0"/>
    <x v="176"/>
    <x v="0"/>
    <x v="1020"/>
    <x v="940"/>
    <x v="0"/>
  </r>
  <r>
    <x v="499"/>
    <x v="468"/>
    <x v="2"/>
    <x v="77"/>
    <x v="78"/>
    <x v="632"/>
    <x v="67"/>
    <x v="441"/>
    <x v="1021"/>
    <x v="941"/>
    <x v="75"/>
  </r>
  <r>
    <x v="499"/>
    <x v="468"/>
    <x v="2"/>
    <x v="56"/>
    <x v="58"/>
    <x v="633"/>
    <x v="67"/>
    <x v="726"/>
    <x v="1022"/>
    <x v="942"/>
    <x v="72"/>
  </r>
  <r>
    <x v="499"/>
    <x v="468"/>
    <x v="2"/>
    <x v="22"/>
    <x v="22"/>
    <x v="634"/>
    <x v="67"/>
    <x v="727"/>
    <x v="1023"/>
    <x v="943"/>
    <x v="75"/>
  </r>
  <r>
    <x v="499"/>
    <x v="468"/>
    <x v="3"/>
    <x v="62"/>
    <x v="65"/>
    <x v="635"/>
    <x v="13"/>
    <x v="624"/>
    <x v="1024"/>
    <x v="944"/>
    <x v="0"/>
  </r>
  <r>
    <x v="499"/>
    <x v="468"/>
    <x v="3"/>
    <x v="56"/>
    <x v="58"/>
    <x v="636"/>
    <x v="67"/>
    <x v="728"/>
    <x v="1025"/>
    <x v="945"/>
    <x v="55"/>
  </r>
  <r>
    <x v="499"/>
    <x v="468"/>
    <x v="2"/>
    <x v="62"/>
    <x v="65"/>
    <x v="637"/>
    <x v="13"/>
    <x v="729"/>
    <x v="1026"/>
    <x v="946"/>
    <x v="11"/>
  </r>
  <r>
    <x v="500"/>
    <x v="469"/>
    <x v="23"/>
    <x v="49"/>
    <x v="51"/>
    <x v="0"/>
    <x v="0"/>
    <x v="0"/>
    <x v="1027"/>
    <x v="947"/>
    <x v="0"/>
  </r>
  <r>
    <x v="500"/>
    <x v="469"/>
    <x v="2"/>
    <x v="62"/>
    <x v="65"/>
    <x v="638"/>
    <x v="13"/>
    <x v="371"/>
    <x v="1028"/>
    <x v="948"/>
    <x v="19"/>
  </r>
  <r>
    <x v="500"/>
    <x v="469"/>
    <x v="3"/>
    <x v="77"/>
    <x v="78"/>
    <x v="639"/>
    <x v="67"/>
    <x v="730"/>
    <x v="1029"/>
    <x v="949"/>
    <x v="0"/>
  </r>
  <r>
    <x v="500"/>
    <x v="469"/>
    <x v="3"/>
    <x v="62"/>
    <x v="65"/>
    <x v="640"/>
    <x v="13"/>
    <x v="654"/>
    <x v="1030"/>
    <x v="950"/>
    <x v="11"/>
  </r>
  <r>
    <x v="500"/>
    <x v="469"/>
    <x v="3"/>
    <x v="22"/>
    <x v="22"/>
    <x v="641"/>
    <x v="67"/>
    <x v="731"/>
    <x v="1031"/>
    <x v="951"/>
    <x v="0"/>
  </r>
  <r>
    <x v="500"/>
    <x v="469"/>
    <x v="2"/>
    <x v="37"/>
    <x v="38"/>
    <x v="642"/>
    <x v="26"/>
    <x v="492"/>
    <x v="1032"/>
    <x v="589"/>
    <x v="19"/>
  </r>
  <r>
    <x v="501"/>
    <x v="470"/>
    <x v="24"/>
    <x v="49"/>
    <x v="51"/>
    <x v="0"/>
    <x v="177"/>
    <x v="0"/>
    <x v="1033"/>
    <x v="952"/>
    <x v="0"/>
  </r>
  <r>
    <x v="501"/>
    <x v="470"/>
    <x v="2"/>
    <x v="56"/>
    <x v="58"/>
    <x v="643"/>
    <x v="67"/>
    <x v="732"/>
    <x v="1034"/>
    <x v="589"/>
    <x v="72"/>
  </r>
  <r>
    <x v="502"/>
    <x v="471"/>
    <x v="30"/>
    <x v="72"/>
    <x v="73"/>
    <x v="0"/>
    <x v="0"/>
    <x v="733"/>
    <x v="65"/>
    <x v="953"/>
    <x v="0"/>
  </r>
  <r>
    <x v="502"/>
    <x v="471"/>
    <x v="4"/>
    <x v="1"/>
    <x v="1"/>
    <x v="0"/>
    <x v="0"/>
    <x v="0"/>
    <x v="379"/>
    <x v="589"/>
    <x v="0"/>
  </r>
  <r>
    <x v="502"/>
    <x v="471"/>
    <x v="31"/>
    <x v="49"/>
    <x v="51"/>
    <x v="0"/>
    <x v="49"/>
    <x v="733"/>
    <x v="65"/>
    <x v="953"/>
    <x v="0"/>
  </r>
  <r>
    <x v="502"/>
    <x v="471"/>
    <x v="23"/>
    <x v="49"/>
    <x v="51"/>
    <x v="0"/>
    <x v="0"/>
    <x v="0"/>
    <x v="1035"/>
    <x v="954"/>
    <x v="0"/>
  </r>
  <r>
    <x v="502"/>
    <x v="471"/>
    <x v="3"/>
    <x v="56"/>
    <x v="58"/>
    <x v="641"/>
    <x v="67"/>
    <x v="731"/>
    <x v="1031"/>
    <x v="955"/>
    <x v="55"/>
  </r>
  <r>
    <x v="502"/>
    <x v="471"/>
    <x v="3"/>
    <x v="76"/>
    <x v="79"/>
    <x v="644"/>
    <x v="13"/>
    <x v="734"/>
    <x v="1036"/>
    <x v="956"/>
    <x v="0"/>
  </r>
  <r>
    <x v="502"/>
    <x v="471"/>
    <x v="30"/>
    <x v="72"/>
    <x v="73"/>
    <x v="0"/>
    <x v="0"/>
    <x v="0"/>
    <x v="379"/>
    <x v="957"/>
    <x v="0"/>
  </r>
  <r>
    <x v="502"/>
    <x v="471"/>
    <x v="2"/>
    <x v="22"/>
    <x v="22"/>
    <x v="645"/>
    <x v="67"/>
    <x v="735"/>
    <x v="1037"/>
    <x v="589"/>
    <x v="75"/>
  </r>
  <r>
    <x v="503"/>
    <x v="472"/>
    <x v="24"/>
    <x v="49"/>
    <x v="51"/>
    <x v="0"/>
    <x v="178"/>
    <x v="0"/>
    <x v="1038"/>
    <x v="695"/>
    <x v="0"/>
  </r>
  <r>
    <x v="503"/>
    <x v="472"/>
    <x v="3"/>
    <x v="22"/>
    <x v="22"/>
    <x v="646"/>
    <x v="67"/>
    <x v="736"/>
    <x v="1039"/>
    <x v="958"/>
    <x v="0"/>
  </r>
  <r>
    <x v="503"/>
    <x v="472"/>
    <x v="2"/>
    <x v="62"/>
    <x v="65"/>
    <x v="647"/>
    <x v="13"/>
    <x v="737"/>
    <x v="1040"/>
    <x v="959"/>
    <x v="19"/>
  </r>
  <r>
    <x v="503"/>
    <x v="472"/>
    <x v="2"/>
    <x v="78"/>
    <x v="80"/>
    <x v="648"/>
    <x v="26"/>
    <x v="679"/>
    <x v="1041"/>
    <x v="589"/>
    <x v="19"/>
  </r>
  <r>
    <x v="504"/>
    <x v="473"/>
    <x v="24"/>
    <x v="49"/>
    <x v="51"/>
    <x v="0"/>
    <x v="179"/>
    <x v="0"/>
    <x v="1042"/>
    <x v="960"/>
    <x v="0"/>
  </r>
  <r>
    <x v="504"/>
    <x v="473"/>
    <x v="3"/>
    <x v="78"/>
    <x v="80"/>
    <x v="649"/>
    <x v="26"/>
    <x v="738"/>
    <x v="1043"/>
    <x v="791"/>
    <x v="0"/>
  </r>
  <r>
    <x v="504"/>
    <x v="473"/>
    <x v="2"/>
    <x v="62"/>
    <x v="65"/>
    <x v="635"/>
    <x v="13"/>
    <x v="624"/>
    <x v="827"/>
    <x v="589"/>
    <x v="20"/>
  </r>
  <r>
    <x v="505"/>
    <x v="474"/>
    <x v="23"/>
    <x v="49"/>
    <x v="51"/>
    <x v="0"/>
    <x v="0"/>
    <x v="0"/>
    <x v="1044"/>
    <x v="961"/>
    <x v="0"/>
  </r>
  <r>
    <x v="505"/>
    <x v="474"/>
    <x v="2"/>
    <x v="22"/>
    <x v="22"/>
    <x v="650"/>
    <x v="31"/>
    <x v="739"/>
    <x v="1045"/>
    <x v="962"/>
    <x v="35"/>
  </r>
  <r>
    <x v="505"/>
    <x v="474"/>
    <x v="3"/>
    <x v="62"/>
    <x v="65"/>
    <x v="651"/>
    <x v="13"/>
    <x v="740"/>
    <x v="1046"/>
    <x v="963"/>
    <x v="19"/>
  </r>
  <r>
    <x v="505"/>
    <x v="474"/>
    <x v="3"/>
    <x v="37"/>
    <x v="38"/>
    <x v="652"/>
    <x v="26"/>
    <x v="741"/>
    <x v="1047"/>
    <x v="964"/>
    <x v="0"/>
  </r>
  <r>
    <x v="505"/>
    <x v="474"/>
    <x v="2"/>
    <x v="62"/>
    <x v="65"/>
    <x v="653"/>
    <x v="13"/>
    <x v="622"/>
    <x v="1048"/>
    <x v="965"/>
    <x v="20"/>
  </r>
  <r>
    <x v="505"/>
    <x v="474"/>
    <x v="3"/>
    <x v="62"/>
    <x v="65"/>
    <x v="653"/>
    <x v="26"/>
    <x v="742"/>
    <x v="1049"/>
    <x v="966"/>
    <x v="11"/>
  </r>
  <r>
    <x v="505"/>
    <x v="474"/>
    <x v="2"/>
    <x v="62"/>
    <x v="65"/>
    <x v="654"/>
    <x v="13"/>
    <x v="448"/>
    <x v="1050"/>
    <x v="932"/>
    <x v="19"/>
  </r>
  <r>
    <x v="506"/>
    <x v="475"/>
    <x v="24"/>
    <x v="49"/>
    <x v="51"/>
    <x v="0"/>
    <x v="180"/>
    <x v="0"/>
    <x v="1051"/>
    <x v="967"/>
    <x v="0"/>
  </r>
  <r>
    <x v="506"/>
    <x v="475"/>
    <x v="3"/>
    <x v="22"/>
    <x v="22"/>
    <x v="655"/>
    <x v="31"/>
    <x v="743"/>
    <x v="1052"/>
    <x v="968"/>
    <x v="0"/>
  </r>
  <r>
    <x v="506"/>
    <x v="475"/>
    <x v="2"/>
    <x v="78"/>
    <x v="80"/>
    <x v="656"/>
    <x v="26"/>
    <x v="586"/>
    <x v="761"/>
    <x v="589"/>
    <x v="19"/>
  </r>
  <r>
    <x v="507"/>
    <x v="476"/>
    <x v="24"/>
    <x v="49"/>
    <x v="51"/>
    <x v="0"/>
    <x v="181"/>
    <x v="0"/>
    <x v="1053"/>
    <x v="969"/>
    <x v="0"/>
  </r>
  <r>
    <x v="507"/>
    <x v="476"/>
    <x v="3"/>
    <x v="56"/>
    <x v="58"/>
    <x v="657"/>
    <x v="67"/>
    <x v="744"/>
    <x v="1054"/>
    <x v="970"/>
    <x v="75"/>
  </r>
  <r>
    <x v="507"/>
    <x v="476"/>
    <x v="2"/>
    <x v="22"/>
    <x v="22"/>
    <x v="658"/>
    <x v="67"/>
    <x v="745"/>
    <x v="1055"/>
    <x v="971"/>
    <x v="75"/>
  </r>
  <r>
    <x v="507"/>
    <x v="476"/>
    <x v="2"/>
    <x v="56"/>
    <x v="58"/>
    <x v="659"/>
    <x v="67"/>
    <x v="155"/>
    <x v="1056"/>
    <x v="972"/>
    <x v="55"/>
  </r>
  <r>
    <x v="507"/>
    <x v="476"/>
    <x v="3"/>
    <x v="78"/>
    <x v="80"/>
    <x v="660"/>
    <x v="26"/>
    <x v="746"/>
    <x v="1057"/>
    <x v="973"/>
    <x v="0"/>
  </r>
  <r>
    <x v="507"/>
    <x v="476"/>
    <x v="2"/>
    <x v="22"/>
    <x v="22"/>
    <x v="661"/>
    <x v="182"/>
    <x v="747"/>
    <x v="1058"/>
    <x v="974"/>
    <x v="124"/>
  </r>
  <r>
    <x v="507"/>
    <x v="476"/>
    <x v="2"/>
    <x v="22"/>
    <x v="22"/>
    <x v="662"/>
    <x v="67"/>
    <x v="748"/>
    <x v="1059"/>
    <x v="975"/>
    <x v="125"/>
  </r>
  <r>
    <x v="507"/>
    <x v="476"/>
    <x v="3"/>
    <x v="62"/>
    <x v="65"/>
    <x v="663"/>
    <x v="26"/>
    <x v="749"/>
    <x v="1060"/>
    <x v="976"/>
    <x v="0"/>
  </r>
  <r>
    <x v="507"/>
    <x v="476"/>
    <x v="2"/>
    <x v="62"/>
    <x v="65"/>
    <x v="664"/>
    <x v="13"/>
    <x v="750"/>
    <x v="1061"/>
    <x v="977"/>
    <x v="11"/>
  </r>
  <r>
    <x v="507"/>
    <x v="476"/>
    <x v="2"/>
    <x v="78"/>
    <x v="80"/>
    <x v="665"/>
    <x v="26"/>
    <x v="751"/>
    <x v="1062"/>
    <x v="978"/>
    <x v="19"/>
  </r>
  <r>
    <x v="508"/>
    <x v="477"/>
    <x v="23"/>
    <x v="49"/>
    <x v="51"/>
    <x v="0"/>
    <x v="0"/>
    <x v="0"/>
    <x v="1063"/>
    <x v="979"/>
    <x v="0"/>
  </r>
  <r>
    <x v="508"/>
    <x v="477"/>
    <x v="3"/>
    <x v="22"/>
    <x v="22"/>
    <x v="666"/>
    <x v="183"/>
    <x v="752"/>
    <x v="1064"/>
    <x v="980"/>
    <x v="71"/>
  </r>
  <r>
    <x v="508"/>
    <x v="477"/>
    <x v="3"/>
    <x v="56"/>
    <x v="58"/>
    <x v="667"/>
    <x v="67"/>
    <x v="753"/>
    <x v="1065"/>
    <x v="981"/>
    <x v="75"/>
  </r>
  <r>
    <x v="508"/>
    <x v="477"/>
    <x v="2"/>
    <x v="56"/>
    <x v="58"/>
    <x v="668"/>
    <x v="67"/>
    <x v="754"/>
    <x v="1066"/>
    <x v="982"/>
    <x v="55"/>
  </r>
  <r>
    <x v="508"/>
    <x v="477"/>
    <x v="2"/>
    <x v="56"/>
    <x v="58"/>
    <x v="669"/>
    <x v="67"/>
    <x v="755"/>
    <x v="1067"/>
    <x v="983"/>
    <x v="72"/>
  </r>
  <r>
    <x v="508"/>
    <x v="477"/>
    <x v="2"/>
    <x v="56"/>
    <x v="58"/>
    <x v="658"/>
    <x v="67"/>
    <x v="756"/>
    <x v="1068"/>
    <x v="984"/>
    <x v="126"/>
  </r>
  <r>
    <x v="508"/>
    <x v="477"/>
    <x v="3"/>
    <x v="22"/>
    <x v="22"/>
    <x v="639"/>
    <x v="31"/>
    <x v="757"/>
    <x v="1069"/>
    <x v="985"/>
    <x v="75"/>
  </r>
  <r>
    <x v="508"/>
    <x v="477"/>
    <x v="3"/>
    <x v="62"/>
    <x v="65"/>
    <x v="670"/>
    <x v="13"/>
    <x v="758"/>
    <x v="1070"/>
    <x v="986"/>
    <x v="0"/>
  </r>
  <r>
    <x v="508"/>
    <x v="477"/>
    <x v="3"/>
    <x v="22"/>
    <x v="22"/>
    <x v="579"/>
    <x v="67"/>
    <x v="675"/>
    <x v="926"/>
    <x v="987"/>
    <x v="0"/>
  </r>
  <r>
    <x v="508"/>
    <x v="477"/>
    <x v="3"/>
    <x v="56"/>
    <x v="58"/>
    <x v="671"/>
    <x v="67"/>
    <x v="759"/>
    <x v="1071"/>
    <x v="988"/>
    <x v="72"/>
  </r>
  <r>
    <x v="508"/>
    <x v="477"/>
    <x v="2"/>
    <x v="62"/>
    <x v="65"/>
    <x v="672"/>
    <x v="3"/>
    <x v="760"/>
    <x v="1072"/>
    <x v="589"/>
    <x v="3"/>
  </r>
  <r>
    <x v="509"/>
    <x v="478"/>
    <x v="24"/>
    <x v="49"/>
    <x v="51"/>
    <x v="0"/>
    <x v="184"/>
    <x v="0"/>
    <x v="1073"/>
    <x v="989"/>
    <x v="0"/>
  </r>
  <r>
    <x v="509"/>
    <x v="478"/>
    <x v="2"/>
    <x v="56"/>
    <x v="58"/>
    <x v="673"/>
    <x v="67"/>
    <x v="761"/>
    <x v="1074"/>
    <x v="990"/>
    <x v="126"/>
  </r>
  <r>
    <x v="509"/>
    <x v="478"/>
    <x v="2"/>
    <x v="22"/>
    <x v="22"/>
    <x v="573"/>
    <x v="67"/>
    <x v="669"/>
    <x v="917"/>
    <x v="991"/>
    <x v="75"/>
  </r>
  <r>
    <x v="509"/>
    <x v="478"/>
    <x v="3"/>
    <x v="56"/>
    <x v="58"/>
    <x v="674"/>
    <x v="67"/>
    <x v="762"/>
    <x v="1075"/>
    <x v="589"/>
    <x v="72"/>
  </r>
  <r>
    <x v="510"/>
    <x v="479"/>
    <x v="23"/>
    <x v="49"/>
    <x v="51"/>
    <x v="0"/>
    <x v="0"/>
    <x v="0"/>
    <x v="1076"/>
    <x v="992"/>
    <x v="0"/>
  </r>
  <r>
    <x v="510"/>
    <x v="479"/>
    <x v="3"/>
    <x v="56"/>
    <x v="58"/>
    <x v="675"/>
    <x v="67"/>
    <x v="763"/>
    <x v="1077"/>
    <x v="993"/>
    <x v="55"/>
  </r>
  <r>
    <x v="510"/>
    <x v="479"/>
    <x v="3"/>
    <x v="22"/>
    <x v="22"/>
    <x v="676"/>
    <x v="67"/>
    <x v="764"/>
    <x v="1078"/>
    <x v="994"/>
    <x v="0"/>
  </r>
  <r>
    <x v="510"/>
    <x v="479"/>
    <x v="3"/>
    <x v="51"/>
    <x v="53"/>
    <x v="677"/>
    <x v="17"/>
    <x v="765"/>
    <x v="1079"/>
    <x v="995"/>
    <x v="110"/>
  </r>
  <r>
    <x v="510"/>
    <x v="479"/>
    <x v="3"/>
    <x v="78"/>
    <x v="80"/>
    <x v="678"/>
    <x v="26"/>
    <x v="766"/>
    <x v="1080"/>
    <x v="996"/>
    <x v="0"/>
  </r>
  <r>
    <x v="510"/>
    <x v="479"/>
    <x v="3"/>
    <x v="56"/>
    <x v="58"/>
    <x v="679"/>
    <x v="49"/>
    <x v="767"/>
    <x v="1081"/>
    <x v="997"/>
    <x v="0"/>
  </r>
  <r>
    <x v="510"/>
    <x v="479"/>
    <x v="2"/>
    <x v="22"/>
    <x v="22"/>
    <x v="680"/>
    <x v="49"/>
    <x v="768"/>
    <x v="1082"/>
    <x v="998"/>
    <x v="55"/>
  </r>
  <r>
    <x v="510"/>
    <x v="479"/>
    <x v="3"/>
    <x v="62"/>
    <x v="65"/>
    <x v="681"/>
    <x v="3"/>
    <x v="142"/>
    <x v="1083"/>
    <x v="999"/>
    <x v="0"/>
  </r>
  <r>
    <x v="510"/>
    <x v="479"/>
    <x v="2"/>
    <x v="56"/>
    <x v="58"/>
    <x v="682"/>
    <x v="67"/>
    <x v="769"/>
    <x v="1084"/>
    <x v="932"/>
    <x v="75"/>
  </r>
  <r>
    <x v="511"/>
    <x v="480"/>
    <x v="24"/>
    <x v="49"/>
    <x v="51"/>
    <x v="0"/>
    <x v="185"/>
    <x v="0"/>
    <x v="1085"/>
    <x v="1000"/>
    <x v="0"/>
  </r>
  <r>
    <x v="512"/>
    <x v="97"/>
    <x v="9"/>
    <x v="51"/>
    <x v="53"/>
    <x v="0"/>
    <x v="0"/>
    <x v="0"/>
    <x v="1086"/>
    <x v="0"/>
    <x v="0"/>
  </r>
  <r>
    <x v="512"/>
    <x v="481"/>
    <x v="23"/>
    <x v="49"/>
    <x v="51"/>
    <x v="0"/>
    <x v="0"/>
    <x v="0"/>
    <x v="1087"/>
    <x v="1001"/>
    <x v="0"/>
  </r>
  <r>
    <x v="512"/>
    <x v="481"/>
    <x v="3"/>
    <x v="22"/>
    <x v="22"/>
    <x v="683"/>
    <x v="67"/>
    <x v="770"/>
    <x v="1088"/>
    <x v="1002"/>
    <x v="75"/>
  </r>
  <r>
    <x v="512"/>
    <x v="481"/>
    <x v="2"/>
    <x v="56"/>
    <x v="58"/>
    <x v="492"/>
    <x v="67"/>
    <x v="771"/>
    <x v="1089"/>
    <x v="1003"/>
    <x v="55"/>
  </r>
  <r>
    <x v="512"/>
    <x v="481"/>
    <x v="3"/>
    <x v="22"/>
    <x v="22"/>
    <x v="511"/>
    <x v="67"/>
    <x v="609"/>
    <x v="1090"/>
    <x v="1004"/>
    <x v="0"/>
  </r>
  <r>
    <x v="512"/>
    <x v="481"/>
    <x v="2"/>
    <x v="62"/>
    <x v="65"/>
    <x v="684"/>
    <x v="13"/>
    <x v="772"/>
    <x v="1091"/>
    <x v="1005"/>
    <x v="11"/>
  </r>
  <r>
    <x v="512"/>
    <x v="481"/>
    <x v="3"/>
    <x v="56"/>
    <x v="58"/>
    <x v="506"/>
    <x v="67"/>
    <x v="773"/>
    <x v="1092"/>
    <x v="589"/>
    <x v="75"/>
  </r>
  <r>
    <x v="513"/>
    <x v="482"/>
    <x v="23"/>
    <x v="49"/>
    <x v="51"/>
    <x v="0"/>
    <x v="0"/>
    <x v="0"/>
    <x v="1093"/>
    <x v="1006"/>
    <x v="0"/>
  </r>
  <r>
    <x v="513"/>
    <x v="482"/>
    <x v="3"/>
    <x v="62"/>
    <x v="65"/>
    <x v="685"/>
    <x v="13"/>
    <x v="774"/>
    <x v="1094"/>
    <x v="1007"/>
    <x v="0"/>
  </r>
  <r>
    <x v="513"/>
    <x v="482"/>
    <x v="3"/>
    <x v="56"/>
    <x v="58"/>
    <x v="658"/>
    <x v="67"/>
    <x v="756"/>
    <x v="1095"/>
    <x v="1008"/>
    <x v="0"/>
  </r>
  <r>
    <x v="513"/>
    <x v="482"/>
    <x v="2"/>
    <x v="62"/>
    <x v="65"/>
    <x v="686"/>
    <x v="3"/>
    <x v="775"/>
    <x v="1096"/>
    <x v="589"/>
    <x v="3"/>
  </r>
  <r>
    <x v="514"/>
    <x v="483"/>
    <x v="5"/>
    <x v="1"/>
    <x v="1"/>
    <x v="0"/>
    <x v="0"/>
    <x v="0"/>
    <x v="1097"/>
    <x v="1009"/>
    <x v="0"/>
  </r>
  <r>
    <x v="515"/>
    <x v="97"/>
    <x v="25"/>
    <x v="49"/>
    <x v="51"/>
    <x v="0"/>
    <x v="0"/>
    <x v="776"/>
    <x v="1098"/>
    <x v="1010"/>
    <x v="0"/>
  </r>
  <r>
    <x v="516"/>
    <x v="484"/>
    <x v="24"/>
    <x v="49"/>
    <x v="51"/>
    <x v="0"/>
    <x v="186"/>
    <x v="0"/>
    <x v="1099"/>
    <x v="1011"/>
    <x v="0"/>
  </r>
  <r>
    <x v="516"/>
    <x v="484"/>
    <x v="2"/>
    <x v="51"/>
    <x v="53"/>
    <x v="311"/>
    <x v="17"/>
    <x v="777"/>
    <x v="1100"/>
    <x v="1012"/>
    <x v="123"/>
  </r>
  <r>
    <x v="516"/>
    <x v="484"/>
    <x v="3"/>
    <x v="62"/>
    <x v="65"/>
    <x v="623"/>
    <x v="3"/>
    <x v="778"/>
    <x v="1101"/>
    <x v="589"/>
    <x v="0"/>
  </r>
  <r>
    <x v="517"/>
    <x v="485"/>
    <x v="30"/>
    <x v="72"/>
    <x v="73"/>
    <x v="0"/>
    <x v="0"/>
    <x v="779"/>
    <x v="376"/>
    <x v="1013"/>
    <x v="0"/>
  </r>
  <r>
    <x v="517"/>
    <x v="485"/>
    <x v="4"/>
    <x v="1"/>
    <x v="1"/>
    <x v="0"/>
    <x v="0"/>
    <x v="0"/>
    <x v="1102"/>
    <x v="589"/>
    <x v="0"/>
  </r>
  <r>
    <x v="517"/>
    <x v="485"/>
    <x v="31"/>
    <x v="49"/>
    <x v="51"/>
    <x v="0"/>
    <x v="187"/>
    <x v="779"/>
    <x v="376"/>
    <x v="1013"/>
    <x v="0"/>
  </r>
  <r>
    <x v="517"/>
    <x v="485"/>
    <x v="30"/>
    <x v="72"/>
    <x v="73"/>
    <x v="0"/>
    <x v="0"/>
    <x v="0"/>
    <x v="1102"/>
    <x v="589"/>
    <x v="0"/>
  </r>
  <r>
    <x v="518"/>
    <x v="486"/>
    <x v="24"/>
    <x v="49"/>
    <x v="51"/>
    <x v="0"/>
    <x v="188"/>
    <x v="0"/>
    <x v="1103"/>
    <x v="1014"/>
    <x v="0"/>
  </r>
  <r>
    <x v="518"/>
    <x v="486"/>
    <x v="2"/>
    <x v="22"/>
    <x v="22"/>
    <x v="687"/>
    <x v="31"/>
    <x v="320"/>
    <x v="1104"/>
    <x v="589"/>
    <x v="35"/>
  </r>
  <r>
    <x v="519"/>
    <x v="487"/>
    <x v="23"/>
    <x v="49"/>
    <x v="51"/>
    <x v="0"/>
    <x v="0"/>
    <x v="0"/>
    <x v="1105"/>
    <x v="1015"/>
    <x v="0"/>
  </r>
  <r>
    <x v="519"/>
    <x v="487"/>
    <x v="3"/>
    <x v="22"/>
    <x v="22"/>
    <x v="451"/>
    <x v="31"/>
    <x v="538"/>
    <x v="1106"/>
    <x v="589"/>
    <x v="0"/>
  </r>
  <r>
    <x v="520"/>
    <x v="488"/>
    <x v="24"/>
    <x v="49"/>
    <x v="51"/>
    <x v="0"/>
    <x v="189"/>
    <x v="0"/>
    <x v="1107"/>
    <x v="1016"/>
    <x v="0"/>
  </r>
  <r>
    <x v="520"/>
    <x v="488"/>
    <x v="2"/>
    <x v="22"/>
    <x v="22"/>
    <x v="688"/>
    <x v="31"/>
    <x v="780"/>
    <x v="1108"/>
    <x v="589"/>
    <x v="35"/>
  </r>
  <r>
    <x v="521"/>
    <x v="489"/>
    <x v="23"/>
    <x v="49"/>
    <x v="51"/>
    <x v="0"/>
    <x v="0"/>
    <x v="0"/>
    <x v="347"/>
    <x v="1017"/>
    <x v="0"/>
  </r>
  <r>
    <x v="521"/>
    <x v="489"/>
    <x v="3"/>
    <x v="22"/>
    <x v="22"/>
    <x v="689"/>
    <x v="31"/>
    <x v="781"/>
    <x v="1109"/>
    <x v="589"/>
    <x v="0"/>
  </r>
  <r>
    <x v="522"/>
    <x v="490"/>
    <x v="24"/>
    <x v="49"/>
    <x v="51"/>
    <x v="0"/>
    <x v="190"/>
    <x v="0"/>
    <x v="1110"/>
    <x v="1018"/>
    <x v="0"/>
  </r>
  <r>
    <x v="522"/>
    <x v="490"/>
    <x v="2"/>
    <x v="51"/>
    <x v="53"/>
    <x v="690"/>
    <x v="17"/>
    <x v="782"/>
    <x v="1111"/>
    <x v="589"/>
    <x v="113"/>
  </r>
  <r>
    <x v="523"/>
    <x v="491"/>
    <x v="1"/>
    <x v="1"/>
    <x v="1"/>
    <x v="0"/>
    <x v="0"/>
    <x v="0"/>
    <x v="1112"/>
    <x v="1019"/>
    <x v="0"/>
  </r>
  <r>
    <x v="523"/>
    <x v="491"/>
    <x v="24"/>
    <x v="49"/>
    <x v="51"/>
    <x v="0"/>
    <x v="191"/>
    <x v="0"/>
    <x v="1113"/>
    <x v="1020"/>
    <x v="0"/>
  </r>
  <r>
    <x v="523"/>
    <x v="491"/>
    <x v="2"/>
    <x v="16"/>
    <x v="16"/>
    <x v="691"/>
    <x v="22"/>
    <x v="783"/>
    <x v="1114"/>
    <x v="1021"/>
    <x v="26"/>
  </r>
  <r>
    <x v="524"/>
    <x v="491"/>
    <x v="11"/>
    <x v="20"/>
    <x v="20"/>
    <x v="0"/>
    <x v="22"/>
    <x v="0"/>
    <x v="0"/>
    <x v="1021"/>
    <x v="0"/>
  </r>
  <r>
    <x v="524"/>
    <x v="491"/>
    <x v="10"/>
    <x v="16"/>
    <x v="16"/>
    <x v="0"/>
    <x v="0"/>
    <x v="784"/>
    <x v="1115"/>
    <x v="1022"/>
    <x v="0"/>
  </r>
  <r>
    <x v="525"/>
    <x v="492"/>
    <x v="4"/>
    <x v="1"/>
    <x v="1"/>
    <x v="0"/>
    <x v="0"/>
    <x v="0"/>
    <x v="1116"/>
    <x v="1023"/>
    <x v="0"/>
  </r>
  <r>
    <x v="525"/>
    <x v="492"/>
    <x v="23"/>
    <x v="49"/>
    <x v="51"/>
    <x v="0"/>
    <x v="0"/>
    <x v="0"/>
    <x v="1117"/>
    <x v="0"/>
    <x v="0"/>
  </r>
  <r>
    <x v="526"/>
    <x v="493"/>
    <x v="24"/>
    <x v="49"/>
    <x v="51"/>
    <x v="0"/>
    <x v="192"/>
    <x v="0"/>
    <x v="1118"/>
    <x v="1024"/>
    <x v="0"/>
  </r>
  <r>
    <x v="527"/>
    <x v="494"/>
    <x v="2"/>
    <x v="51"/>
    <x v="53"/>
    <x v="692"/>
    <x v="17"/>
    <x v="785"/>
    <x v="1119"/>
    <x v="589"/>
    <x v="127"/>
  </r>
  <r>
    <x v="528"/>
    <x v="495"/>
    <x v="24"/>
    <x v="49"/>
    <x v="51"/>
    <x v="0"/>
    <x v="193"/>
    <x v="0"/>
    <x v="1120"/>
    <x v="1025"/>
    <x v="0"/>
  </r>
  <r>
    <x v="528"/>
    <x v="495"/>
    <x v="2"/>
    <x v="62"/>
    <x v="65"/>
    <x v="693"/>
    <x v="3"/>
    <x v="781"/>
    <x v="1121"/>
    <x v="1026"/>
    <x v="3"/>
  </r>
  <r>
    <x v="528"/>
    <x v="495"/>
    <x v="2"/>
    <x v="56"/>
    <x v="58"/>
    <x v="694"/>
    <x v="67"/>
    <x v="786"/>
    <x v="1122"/>
    <x v="589"/>
    <x v="75"/>
  </r>
  <r>
    <x v="529"/>
    <x v="496"/>
    <x v="24"/>
    <x v="49"/>
    <x v="51"/>
    <x v="0"/>
    <x v="194"/>
    <x v="0"/>
    <x v="1123"/>
    <x v="1027"/>
    <x v="0"/>
  </r>
  <r>
    <x v="529"/>
    <x v="496"/>
    <x v="3"/>
    <x v="56"/>
    <x v="58"/>
    <x v="695"/>
    <x v="67"/>
    <x v="787"/>
    <x v="1124"/>
    <x v="1028"/>
    <x v="0"/>
  </r>
  <r>
    <x v="529"/>
    <x v="496"/>
    <x v="2"/>
    <x v="51"/>
    <x v="53"/>
    <x v="696"/>
    <x v="195"/>
    <x v="788"/>
    <x v="1125"/>
    <x v="1029"/>
    <x v="128"/>
  </r>
  <r>
    <x v="530"/>
    <x v="497"/>
    <x v="23"/>
    <x v="49"/>
    <x v="51"/>
    <x v="0"/>
    <x v="0"/>
    <x v="0"/>
    <x v="1126"/>
    <x v="1030"/>
    <x v="0"/>
  </r>
  <r>
    <x v="530"/>
    <x v="497"/>
    <x v="3"/>
    <x v="62"/>
    <x v="65"/>
    <x v="697"/>
    <x v="3"/>
    <x v="789"/>
    <x v="1127"/>
    <x v="589"/>
    <x v="0"/>
  </r>
  <r>
    <x v="531"/>
    <x v="498"/>
    <x v="24"/>
    <x v="49"/>
    <x v="51"/>
    <x v="0"/>
    <x v="196"/>
    <x v="0"/>
    <x v="1128"/>
    <x v="1031"/>
    <x v="0"/>
  </r>
  <r>
    <x v="531"/>
    <x v="498"/>
    <x v="2"/>
    <x v="56"/>
    <x v="58"/>
    <x v="571"/>
    <x v="31"/>
    <x v="790"/>
    <x v="1129"/>
    <x v="589"/>
    <x v="35"/>
  </r>
  <r>
    <x v="532"/>
    <x v="499"/>
    <x v="24"/>
    <x v="49"/>
    <x v="51"/>
    <x v="0"/>
    <x v="197"/>
    <x v="0"/>
    <x v="1130"/>
    <x v="1032"/>
    <x v="0"/>
  </r>
  <r>
    <x v="532"/>
    <x v="499"/>
    <x v="2"/>
    <x v="56"/>
    <x v="58"/>
    <x v="698"/>
    <x v="66"/>
    <x v="791"/>
    <x v="1131"/>
    <x v="1033"/>
    <x v="129"/>
  </r>
  <r>
    <x v="533"/>
    <x v="500"/>
    <x v="5"/>
    <x v="1"/>
    <x v="1"/>
    <x v="0"/>
    <x v="0"/>
    <x v="0"/>
    <x v="1132"/>
    <x v="1034"/>
    <x v="0"/>
  </r>
  <r>
    <x v="534"/>
    <x v="97"/>
    <x v="25"/>
    <x v="49"/>
    <x v="51"/>
    <x v="0"/>
    <x v="0"/>
    <x v="792"/>
    <x v="1133"/>
    <x v="1035"/>
    <x v="0"/>
  </r>
  <r>
    <x v="535"/>
    <x v="501"/>
    <x v="1"/>
    <x v="1"/>
    <x v="1"/>
    <x v="0"/>
    <x v="0"/>
    <x v="0"/>
    <x v="1134"/>
    <x v="1036"/>
    <x v="0"/>
  </r>
  <r>
    <x v="535"/>
    <x v="501"/>
    <x v="2"/>
    <x v="51"/>
    <x v="53"/>
    <x v="699"/>
    <x v="87"/>
    <x v="793"/>
    <x v="1135"/>
    <x v="1037"/>
    <x v="130"/>
  </r>
  <r>
    <x v="536"/>
    <x v="502"/>
    <x v="6"/>
    <x v="43"/>
    <x v="44"/>
    <x v="0"/>
    <x v="0"/>
    <x v="794"/>
    <x v="1136"/>
    <x v="1038"/>
    <x v="0"/>
  </r>
  <r>
    <x v="537"/>
    <x v="503"/>
    <x v="3"/>
    <x v="51"/>
    <x v="53"/>
    <x v="700"/>
    <x v="87"/>
    <x v="795"/>
    <x v="1137"/>
    <x v="1039"/>
    <x v="128"/>
  </r>
  <r>
    <x v="537"/>
    <x v="503"/>
    <x v="2"/>
    <x v="22"/>
    <x v="22"/>
    <x v="645"/>
    <x v="198"/>
    <x v="796"/>
    <x v="1138"/>
    <x v="1040"/>
    <x v="131"/>
  </r>
  <r>
    <x v="538"/>
    <x v="504"/>
    <x v="20"/>
    <x v="56"/>
    <x v="58"/>
    <x v="0"/>
    <x v="199"/>
    <x v="0"/>
    <x v="0"/>
    <x v="1040"/>
    <x v="132"/>
  </r>
  <r>
    <x v="539"/>
    <x v="505"/>
    <x v="6"/>
    <x v="51"/>
    <x v="53"/>
    <x v="0"/>
    <x v="0"/>
    <x v="797"/>
    <x v="1139"/>
    <x v="1041"/>
    <x v="0"/>
  </r>
  <r>
    <x v="540"/>
    <x v="506"/>
    <x v="23"/>
    <x v="49"/>
    <x v="51"/>
    <x v="0"/>
    <x v="0"/>
    <x v="0"/>
    <x v="1140"/>
    <x v="0"/>
    <x v="0"/>
  </r>
  <r>
    <x v="541"/>
    <x v="507"/>
    <x v="24"/>
    <x v="49"/>
    <x v="51"/>
    <x v="0"/>
    <x v="200"/>
    <x v="0"/>
    <x v="1141"/>
    <x v="1041"/>
    <x v="0"/>
  </r>
  <r>
    <x v="541"/>
    <x v="507"/>
    <x v="2"/>
    <x v="43"/>
    <x v="44"/>
    <x v="701"/>
    <x v="13"/>
    <x v="757"/>
    <x v="1142"/>
    <x v="1042"/>
    <x v="73"/>
  </r>
  <r>
    <x v="542"/>
    <x v="508"/>
    <x v="12"/>
    <x v="51"/>
    <x v="53"/>
    <x v="0"/>
    <x v="201"/>
    <x v="0"/>
    <x v="0"/>
    <x v="1042"/>
    <x v="0"/>
  </r>
  <r>
    <x v="543"/>
    <x v="509"/>
    <x v="23"/>
    <x v="49"/>
    <x v="51"/>
    <x v="0"/>
    <x v="0"/>
    <x v="0"/>
    <x v="1143"/>
    <x v="1043"/>
    <x v="0"/>
  </r>
  <r>
    <x v="543"/>
    <x v="509"/>
    <x v="3"/>
    <x v="43"/>
    <x v="44"/>
    <x v="696"/>
    <x v="13"/>
    <x v="798"/>
    <x v="1144"/>
    <x v="589"/>
    <x v="34"/>
  </r>
  <r>
    <x v="544"/>
    <x v="510"/>
    <x v="30"/>
    <x v="72"/>
    <x v="73"/>
    <x v="0"/>
    <x v="0"/>
    <x v="45"/>
    <x v="1145"/>
    <x v="1044"/>
    <x v="0"/>
  </r>
  <r>
    <x v="544"/>
    <x v="510"/>
    <x v="4"/>
    <x v="1"/>
    <x v="1"/>
    <x v="0"/>
    <x v="0"/>
    <x v="0"/>
    <x v="1146"/>
    <x v="589"/>
    <x v="0"/>
  </r>
  <r>
    <x v="544"/>
    <x v="510"/>
    <x v="31"/>
    <x v="49"/>
    <x v="51"/>
    <x v="0"/>
    <x v="66"/>
    <x v="45"/>
    <x v="1145"/>
    <x v="1044"/>
    <x v="0"/>
  </r>
  <r>
    <x v="544"/>
    <x v="510"/>
    <x v="30"/>
    <x v="72"/>
    <x v="73"/>
    <x v="0"/>
    <x v="0"/>
    <x v="0"/>
    <x v="1146"/>
    <x v="589"/>
    <x v="0"/>
  </r>
  <r>
    <x v="545"/>
    <x v="511"/>
    <x v="5"/>
    <x v="1"/>
    <x v="1"/>
    <x v="0"/>
    <x v="0"/>
    <x v="0"/>
    <x v="31"/>
    <x v="1045"/>
    <x v="0"/>
  </r>
  <r>
    <x v="546"/>
    <x v="97"/>
    <x v="25"/>
    <x v="49"/>
    <x v="51"/>
    <x v="0"/>
    <x v="0"/>
    <x v="799"/>
    <x v="1147"/>
    <x v="1046"/>
    <x v="0"/>
  </r>
  <r>
    <x v="547"/>
    <x v="512"/>
    <x v="20"/>
    <x v="23"/>
    <x v="26"/>
    <x v="0"/>
    <x v="202"/>
    <x v="0"/>
    <x v="0"/>
    <x v="1046"/>
    <x v="133"/>
  </r>
  <r>
    <x v="547"/>
    <x v="512"/>
    <x v="20"/>
    <x v="22"/>
    <x v="22"/>
    <x v="0"/>
    <x v="203"/>
    <x v="0"/>
    <x v="0"/>
    <x v="1046"/>
    <x v="134"/>
  </r>
  <r>
    <x v="548"/>
    <x v="513"/>
    <x v="32"/>
    <x v="70"/>
    <x v="81"/>
    <x v="0"/>
    <x v="0"/>
    <x v="800"/>
    <x v="1148"/>
    <x v="1047"/>
    <x v="0"/>
  </r>
  <r>
    <x v="548"/>
    <x v="513"/>
    <x v="33"/>
    <x v="70"/>
    <x v="81"/>
    <x v="0"/>
    <x v="0"/>
    <x v="801"/>
    <x v="1149"/>
    <x v="1048"/>
    <x v="0"/>
  </r>
  <r>
    <x v="549"/>
    <x v="514"/>
    <x v="21"/>
    <x v="23"/>
    <x v="26"/>
    <x v="0"/>
    <x v="204"/>
    <x v="0"/>
    <x v="0"/>
    <x v="1048"/>
    <x v="135"/>
  </r>
  <r>
    <x v="550"/>
    <x v="515"/>
    <x v="5"/>
    <x v="1"/>
    <x v="1"/>
    <x v="0"/>
    <x v="0"/>
    <x v="0"/>
    <x v="32"/>
    <x v="1049"/>
    <x v="0"/>
  </r>
  <r>
    <x v="551"/>
    <x v="97"/>
    <x v="25"/>
    <x v="49"/>
    <x v="51"/>
    <x v="0"/>
    <x v="0"/>
    <x v="802"/>
    <x v="1150"/>
    <x v="1050"/>
    <x v="0"/>
  </r>
  <r>
    <x v="552"/>
    <x v="516"/>
    <x v="1"/>
    <x v="1"/>
    <x v="1"/>
    <x v="0"/>
    <x v="0"/>
    <x v="0"/>
    <x v="40"/>
    <x v="1051"/>
    <x v="0"/>
  </r>
  <r>
    <x v="552"/>
    <x v="517"/>
    <x v="26"/>
    <x v="79"/>
    <x v="82"/>
    <x v="702"/>
    <x v="3"/>
    <x v="803"/>
    <x v="1151"/>
    <x v="1052"/>
    <x v="0"/>
  </r>
  <r>
    <x v="553"/>
    <x v="517"/>
    <x v="27"/>
    <x v="79"/>
    <x v="82"/>
    <x v="702"/>
    <x v="3"/>
    <x v="803"/>
    <x v="0"/>
    <x v="1052"/>
    <x v="3"/>
  </r>
  <r>
    <x v="554"/>
    <x v="517"/>
    <x v="34"/>
    <x v="79"/>
    <x v="82"/>
    <x v="702"/>
    <x v="3"/>
    <x v="803"/>
    <x v="0"/>
    <x v="1052"/>
    <x v="0"/>
  </r>
  <r>
    <x v="554"/>
    <x v="517"/>
    <x v="28"/>
    <x v="79"/>
    <x v="82"/>
    <x v="702"/>
    <x v="3"/>
    <x v="0"/>
    <x v="0"/>
    <x v="1052"/>
    <x v="3"/>
  </r>
  <r>
    <x v="555"/>
    <x v="518"/>
    <x v="5"/>
    <x v="1"/>
    <x v="1"/>
    <x v="0"/>
    <x v="0"/>
    <x v="0"/>
    <x v="32"/>
    <x v="1053"/>
    <x v="0"/>
  </r>
  <r>
    <x v="556"/>
    <x v="97"/>
    <x v="25"/>
    <x v="49"/>
    <x v="51"/>
    <x v="0"/>
    <x v="0"/>
    <x v="804"/>
    <x v="1152"/>
    <x v="1054"/>
    <x v="0"/>
  </r>
  <r>
    <x v="557"/>
    <x v="519"/>
    <x v="23"/>
    <x v="49"/>
    <x v="51"/>
    <x v="0"/>
    <x v="0"/>
    <x v="0"/>
    <x v="1153"/>
    <x v="1055"/>
    <x v="0"/>
  </r>
  <r>
    <x v="557"/>
    <x v="519"/>
    <x v="3"/>
    <x v="79"/>
    <x v="82"/>
    <x v="703"/>
    <x v="3"/>
    <x v="805"/>
    <x v="1154"/>
    <x v="589"/>
    <x v="0"/>
  </r>
  <r>
    <x v="558"/>
    <x v="520"/>
    <x v="24"/>
    <x v="49"/>
    <x v="51"/>
    <x v="0"/>
    <x v="205"/>
    <x v="0"/>
    <x v="1155"/>
    <x v="1056"/>
    <x v="0"/>
  </r>
  <r>
    <x v="559"/>
    <x v="521"/>
    <x v="23"/>
    <x v="49"/>
    <x v="51"/>
    <x v="0"/>
    <x v="0"/>
    <x v="0"/>
    <x v="36"/>
    <x v="0"/>
    <x v="0"/>
  </r>
  <r>
    <x v="560"/>
    <x v="522"/>
    <x v="30"/>
    <x v="72"/>
    <x v="73"/>
    <x v="0"/>
    <x v="0"/>
    <x v="806"/>
    <x v="1156"/>
    <x v="1057"/>
    <x v="0"/>
  </r>
  <r>
    <x v="560"/>
    <x v="522"/>
    <x v="4"/>
    <x v="1"/>
    <x v="1"/>
    <x v="0"/>
    <x v="0"/>
    <x v="0"/>
    <x v="1157"/>
    <x v="0"/>
    <x v="0"/>
  </r>
  <r>
    <x v="560"/>
    <x v="522"/>
    <x v="31"/>
    <x v="49"/>
    <x v="51"/>
    <x v="0"/>
    <x v="206"/>
    <x v="806"/>
    <x v="1156"/>
    <x v="1057"/>
    <x v="0"/>
  </r>
  <r>
    <x v="560"/>
    <x v="522"/>
    <x v="30"/>
    <x v="72"/>
    <x v="73"/>
    <x v="0"/>
    <x v="0"/>
    <x v="0"/>
    <x v="1157"/>
    <x v="0"/>
    <x v="0"/>
  </r>
  <r>
    <x v="561"/>
    <x v="523"/>
    <x v="5"/>
    <x v="1"/>
    <x v="1"/>
    <x v="0"/>
    <x v="0"/>
    <x v="0"/>
    <x v="654"/>
    <x v="1058"/>
    <x v="0"/>
  </r>
  <r>
    <x v="562"/>
    <x v="97"/>
    <x v="25"/>
    <x v="49"/>
    <x v="51"/>
    <x v="0"/>
    <x v="0"/>
    <x v="807"/>
    <x v="1158"/>
    <x v="1059"/>
    <x v="0"/>
  </r>
  <r>
    <x v="563"/>
    <x v="524"/>
    <x v="6"/>
    <x v="43"/>
    <x v="44"/>
    <x v="0"/>
    <x v="0"/>
    <x v="808"/>
    <x v="273"/>
    <x v="1060"/>
    <x v="0"/>
  </r>
  <r>
    <x v="564"/>
    <x v="525"/>
    <x v="5"/>
    <x v="1"/>
    <x v="1"/>
    <x v="0"/>
    <x v="0"/>
    <x v="0"/>
    <x v="1159"/>
    <x v="1061"/>
    <x v="0"/>
  </r>
  <r>
    <x v="565"/>
    <x v="97"/>
    <x v="25"/>
    <x v="49"/>
    <x v="51"/>
    <x v="0"/>
    <x v="0"/>
    <x v="0"/>
    <x v="0"/>
    <x v="1061"/>
    <x v="0"/>
  </r>
  <r>
    <x v="566"/>
    <x v="526"/>
    <x v="13"/>
    <x v="16"/>
    <x v="16"/>
    <x v="380"/>
    <x v="207"/>
    <x v="809"/>
    <x v="0"/>
    <x v="1061"/>
    <x v="136"/>
  </r>
  <r>
    <x v="566"/>
    <x v="526"/>
    <x v="32"/>
    <x v="70"/>
    <x v="81"/>
    <x v="0"/>
    <x v="0"/>
    <x v="810"/>
    <x v="1160"/>
    <x v="1062"/>
    <x v="0"/>
  </r>
  <r>
    <x v="566"/>
    <x v="526"/>
    <x v="33"/>
    <x v="70"/>
    <x v="81"/>
    <x v="0"/>
    <x v="0"/>
    <x v="811"/>
    <x v="1161"/>
    <x v="1063"/>
    <x v="0"/>
  </r>
  <r>
    <x v="567"/>
    <x v="527"/>
    <x v="11"/>
    <x v="20"/>
    <x v="20"/>
    <x v="0"/>
    <x v="207"/>
    <x v="0"/>
    <x v="0"/>
    <x v="1063"/>
    <x v="0"/>
  </r>
  <r>
    <x v="567"/>
    <x v="527"/>
    <x v="10"/>
    <x v="16"/>
    <x v="16"/>
    <x v="0"/>
    <x v="0"/>
    <x v="812"/>
    <x v="1162"/>
    <x v="1064"/>
    <x v="0"/>
  </r>
  <r>
    <x v="568"/>
    <x v="528"/>
    <x v="23"/>
    <x v="49"/>
    <x v="51"/>
    <x v="0"/>
    <x v="0"/>
    <x v="0"/>
    <x v="1163"/>
    <x v="0"/>
    <x v="0"/>
  </r>
  <r>
    <x v="568"/>
    <x v="528"/>
    <x v="0"/>
    <x v="0"/>
    <x v="0"/>
    <x v="0"/>
    <x v="0"/>
    <x v="0"/>
    <x v="0"/>
    <x v="0"/>
    <x v="0"/>
  </r>
  <r>
    <x v="568"/>
    <x v="528"/>
    <x v="0"/>
    <x v="0"/>
    <x v="0"/>
    <x v="0"/>
    <x v="0"/>
    <x v="0"/>
    <x v="0"/>
    <x v="0"/>
    <x v="0"/>
  </r>
  <r>
    <x v="569"/>
    <x v="529"/>
    <x v="24"/>
    <x v="49"/>
    <x v="51"/>
    <x v="0"/>
    <x v="208"/>
    <x v="0"/>
    <x v="1164"/>
    <x v="1065"/>
    <x v="0"/>
  </r>
  <r>
    <x v="569"/>
    <x v="529"/>
    <x v="2"/>
    <x v="51"/>
    <x v="53"/>
    <x v="704"/>
    <x v="30"/>
    <x v="245"/>
    <x v="1165"/>
    <x v="589"/>
    <x v="34"/>
  </r>
  <r>
    <x v="570"/>
    <x v="530"/>
    <x v="30"/>
    <x v="72"/>
    <x v="73"/>
    <x v="0"/>
    <x v="0"/>
    <x v="813"/>
    <x v="1166"/>
    <x v="1066"/>
    <x v="0"/>
  </r>
  <r>
    <x v="570"/>
    <x v="530"/>
    <x v="4"/>
    <x v="1"/>
    <x v="1"/>
    <x v="0"/>
    <x v="0"/>
    <x v="0"/>
    <x v="1167"/>
    <x v="589"/>
    <x v="0"/>
  </r>
  <r>
    <x v="570"/>
    <x v="530"/>
    <x v="31"/>
    <x v="49"/>
    <x v="51"/>
    <x v="0"/>
    <x v="209"/>
    <x v="813"/>
    <x v="1166"/>
    <x v="1066"/>
    <x v="0"/>
  </r>
  <r>
    <x v="570"/>
    <x v="530"/>
    <x v="30"/>
    <x v="72"/>
    <x v="73"/>
    <x v="0"/>
    <x v="0"/>
    <x v="0"/>
    <x v="1167"/>
    <x v="589"/>
    <x v="0"/>
  </r>
  <r>
    <x v="571"/>
    <x v="531"/>
    <x v="21"/>
    <x v="23"/>
    <x v="26"/>
    <x v="0"/>
    <x v="185"/>
    <x v="0"/>
    <x v="0"/>
    <x v="589"/>
    <x v="137"/>
  </r>
  <r>
    <x v="572"/>
    <x v="532"/>
    <x v="5"/>
    <x v="1"/>
    <x v="1"/>
    <x v="0"/>
    <x v="0"/>
    <x v="0"/>
    <x v="1168"/>
    <x v="1067"/>
    <x v="0"/>
  </r>
  <r>
    <x v="573"/>
    <x v="97"/>
    <x v="25"/>
    <x v="49"/>
    <x v="51"/>
    <x v="0"/>
    <x v="0"/>
    <x v="814"/>
    <x v="1169"/>
    <x v="1068"/>
    <x v="0"/>
  </r>
  <r>
    <x v="574"/>
    <x v="533"/>
    <x v="2"/>
    <x v="80"/>
    <x v="83"/>
    <x v="705"/>
    <x v="210"/>
    <x v="815"/>
    <x v="1170"/>
    <x v="1069"/>
    <x v="138"/>
  </r>
  <r>
    <x v="574"/>
    <x v="533"/>
    <x v="3"/>
    <x v="51"/>
    <x v="53"/>
    <x v="706"/>
    <x v="30"/>
    <x v="816"/>
    <x v="1171"/>
    <x v="1070"/>
    <x v="0"/>
  </r>
  <r>
    <x v="575"/>
    <x v="534"/>
    <x v="12"/>
    <x v="80"/>
    <x v="83"/>
    <x v="0"/>
    <x v="210"/>
    <x v="0"/>
    <x v="0"/>
    <x v="1069"/>
    <x v="0"/>
  </r>
  <r>
    <x v="576"/>
    <x v="535"/>
    <x v="12"/>
    <x v="43"/>
    <x v="44"/>
    <x v="0"/>
    <x v="30"/>
    <x v="0"/>
    <x v="0"/>
    <x v="1069"/>
    <x v="0"/>
  </r>
  <r>
    <x v="577"/>
    <x v="536"/>
    <x v="23"/>
    <x v="49"/>
    <x v="51"/>
    <x v="0"/>
    <x v="0"/>
    <x v="0"/>
    <x v="1172"/>
    <x v="1071"/>
    <x v="0"/>
  </r>
  <r>
    <x v="577"/>
    <x v="536"/>
    <x v="1"/>
    <x v="1"/>
    <x v="1"/>
    <x v="0"/>
    <x v="0"/>
    <x v="0"/>
    <x v="1173"/>
    <x v="1072"/>
    <x v="0"/>
  </r>
  <r>
    <x v="577"/>
    <x v="536"/>
    <x v="1"/>
    <x v="1"/>
    <x v="1"/>
    <x v="0"/>
    <x v="0"/>
    <x v="0"/>
    <x v="933"/>
    <x v="1073"/>
    <x v="0"/>
  </r>
  <r>
    <x v="578"/>
    <x v="537"/>
    <x v="1"/>
    <x v="1"/>
    <x v="1"/>
    <x v="0"/>
    <x v="0"/>
    <x v="0"/>
    <x v="1173"/>
    <x v="1074"/>
    <x v="0"/>
  </r>
  <r>
    <x v="579"/>
    <x v="538"/>
    <x v="35"/>
    <x v="81"/>
    <x v="84"/>
    <x v="707"/>
    <x v="66"/>
    <x v="817"/>
    <x v="1174"/>
    <x v="1075"/>
    <x v="73"/>
  </r>
  <r>
    <x v="580"/>
    <x v="539"/>
    <x v="36"/>
    <x v="82"/>
    <x v="85"/>
    <x v="0"/>
    <x v="0"/>
    <x v="818"/>
    <x v="1175"/>
    <x v="1076"/>
    <x v="0"/>
  </r>
  <r>
    <x v="581"/>
    <x v="540"/>
    <x v="35"/>
    <x v="81"/>
    <x v="84"/>
    <x v="708"/>
    <x v="66"/>
    <x v="819"/>
    <x v="1176"/>
    <x v="1077"/>
    <x v="91"/>
  </r>
  <r>
    <x v="581"/>
    <x v="541"/>
    <x v="36"/>
    <x v="82"/>
    <x v="85"/>
    <x v="0"/>
    <x v="0"/>
    <x v="818"/>
    <x v="1175"/>
    <x v="1078"/>
    <x v="0"/>
  </r>
  <r>
    <x v="582"/>
    <x v="542"/>
    <x v="36"/>
    <x v="82"/>
    <x v="85"/>
    <x v="0"/>
    <x v="0"/>
    <x v="820"/>
    <x v="1177"/>
    <x v="1079"/>
    <x v="0"/>
  </r>
  <r>
    <x v="583"/>
    <x v="543"/>
    <x v="23"/>
    <x v="49"/>
    <x v="51"/>
    <x v="0"/>
    <x v="0"/>
    <x v="0"/>
    <x v="1178"/>
    <x v="1080"/>
    <x v="0"/>
  </r>
  <r>
    <x v="583"/>
    <x v="543"/>
    <x v="1"/>
    <x v="1"/>
    <x v="1"/>
    <x v="0"/>
    <x v="0"/>
    <x v="0"/>
    <x v="1173"/>
    <x v="1081"/>
    <x v="0"/>
  </r>
  <r>
    <x v="584"/>
    <x v="544"/>
    <x v="36"/>
    <x v="82"/>
    <x v="85"/>
    <x v="0"/>
    <x v="0"/>
    <x v="818"/>
    <x v="1175"/>
    <x v="1082"/>
    <x v="0"/>
  </r>
  <r>
    <x v="585"/>
    <x v="545"/>
    <x v="36"/>
    <x v="82"/>
    <x v="85"/>
    <x v="0"/>
    <x v="0"/>
    <x v="821"/>
    <x v="1179"/>
    <x v="1083"/>
    <x v="0"/>
  </r>
  <r>
    <x v="586"/>
    <x v="544"/>
    <x v="35"/>
    <x v="81"/>
    <x v="84"/>
    <x v="403"/>
    <x v="66"/>
    <x v="822"/>
    <x v="1180"/>
    <x v="1084"/>
    <x v="139"/>
  </r>
  <r>
    <x v="586"/>
    <x v="546"/>
    <x v="36"/>
    <x v="82"/>
    <x v="85"/>
    <x v="0"/>
    <x v="0"/>
    <x v="818"/>
    <x v="1175"/>
    <x v="1085"/>
    <x v="0"/>
  </r>
  <r>
    <x v="587"/>
    <x v="547"/>
    <x v="36"/>
    <x v="82"/>
    <x v="85"/>
    <x v="0"/>
    <x v="0"/>
    <x v="820"/>
    <x v="1177"/>
    <x v="1086"/>
    <x v="0"/>
  </r>
  <r>
    <x v="588"/>
    <x v="548"/>
    <x v="24"/>
    <x v="49"/>
    <x v="51"/>
    <x v="0"/>
    <x v="211"/>
    <x v="0"/>
    <x v="1181"/>
    <x v="1087"/>
    <x v="0"/>
  </r>
  <r>
    <x v="588"/>
    <x v="548"/>
    <x v="1"/>
    <x v="1"/>
    <x v="1"/>
    <x v="0"/>
    <x v="0"/>
    <x v="0"/>
    <x v="1173"/>
    <x v="1088"/>
    <x v="0"/>
  </r>
  <r>
    <x v="588"/>
    <x v="548"/>
    <x v="1"/>
    <x v="1"/>
    <x v="1"/>
    <x v="0"/>
    <x v="0"/>
    <x v="0"/>
    <x v="1182"/>
    <x v="1089"/>
    <x v="0"/>
  </r>
  <r>
    <x v="589"/>
    <x v="549"/>
    <x v="36"/>
    <x v="82"/>
    <x v="85"/>
    <x v="0"/>
    <x v="0"/>
    <x v="820"/>
    <x v="1177"/>
    <x v="1090"/>
    <x v="0"/>
  </r>
  <r>
    <x v="590"/>
    <x v="550"/>
    <x v="5"/>
    <x v="1"/>
    <x v="1"/>
    <x v="0"/>
    <x v="0"/>
    <x v="0"/>
    <x v="1183"/>
    <x v="1091"/>
    <x v="0"/>
  </r>
  <r>
    <x v="591"/>
    <x v="551"/>
    <x v="36"/>
    <x v="82"/>
    <x v="85"/>
    <x v="0"/>
    <x v="0"/>
    <x v="820"/>
    <x v="1177"/>
    <x v="1092"/>
    <x v="0"/>
  </r>
  <r>
    <x v="592"/>
    <x v="97"/>
    <x v="25"/>
    <x v="49"/>
    <x v="51"/>
    <x v="0"/>
    <x v="0"/>
    <x v="823"/>
    <x v="1184"/>
    <x v="1093"/>
    <x v="0"/>
  </r>
  <r>
    <x v="593"/>
    <x v="549"/>
    <x v="35"/>
    <x v="81"/>
    <x v="84"/>
    <x v="709"/>
    <x v="212"/>
    <x v="824"/>
    <x v="1185"/>
    <x v="1094"/>
    <x v="140"/>
  </r>
  <r>
    <x v="593"/>
    <x v="552"/>
    <x v="36"/>
    <x v="82"/>
    <x v="85"/>
    <x v="0"/>
    <x v="0"/>
    <x v="825"/>
    <x v="1186"/>
    <x v="1095"/>
    <x v="0"/>
  </r>
  <r>
    <x v="594"/>
    <x v="553"/>
    <x v="36"/>
    <x v="82"/>
    <x v="85"/>
    <x v="0"/>
    <x v="0"/>
    <x v="820"/>
    <x v="1177"/>
    <x v="1096"/>
    <x v="0"/>
  </r>
  <r>
    <x v="595"/>
    <x v="554"/>
    <x v="36"/>
    <x v="82"/>
    <x v="85"/>
    <x v="0"/>
    <x v="0"/>
    <x v="820"/>
    <x v="1177"/>
    <x v="1097"/>
    <x v="0"/>
  </r>
  <r>
    <x v="596"/>
    <x v="555"/>
    <x v="36"/>
    <x v="82"/>
    <x v="85"/>
    <x v="0"/>
    <x v="0"/>
    <x v="821"/>
    <x v="1179"/>
    <x v="1098"/>
    <x v="0"/>
  </r>
  <r>
    <x v="597"/>
    <x v="556"/>
    <x v="36"/>
    <x v="82"/>
    <x v="85"/>
    <x v="0"/>
    <x v="0"/>
    <x v="821"/>
    <x v="1179"/>
    <x v="1099"/>
    <x v="0"/>
  </r>
  <r>
    <x v="598"/>
    <x v="557"/>
    <x v="36"/>
    <x v="82"/>
    <x v="85"/>
    <x v="0"/>
    <x v="0"/>
    <x v="826"/>
    <x v="1187"/>
    <x v="1100"/>
    <x v="0"/>
  </r>
  <r>
    <x v="599"/>
    <x v="558"/>
    <x v="36"/>
    <x v="82"/>
    <x v="85"/>
    <x v="0"/>
    <x v="0"/>
    <x v="821"/>
    <x v="1179"/>
    <x v="1101"/>
    <x v="0"/>
  </r>
  <r>
    <x v="600"/>
    <x v="559"/>
    <x v="36"/>
    <x v="82"/>
    <x v="85"/>
    <x v="0"/>
    <x v="0"/>
    <x v="821"/>
    <x v="1179"/>
    <x v="1102"/>
    <x v="0"/>
  </r>
  <r>
    <x v="601"/>
    <x v="560"/>
    <x v="36"/>
    <x v="82"/>
    <x v="85"/>
    <x v="0"/>
    <x v="0"/>
    <x v="821"/>
    <x v="1179"/>
    <x v="1103"/>
    <x v="0"/>
  </r>
  <r>
    <x v="602"/>
    <x v="561"/>
    <x v="36"/>
    <x v="82"/>
    <x v="85"/>
    <x v="0"/>
    <x v="0"/>
    <x v="821"/>
    <x v="1179"/>
    <x v="1104"/>
    <x v="0"/>
  </r>
  <r>
    <x v="603"/>
    <x v="562"/>
    <x v="36"/>
    <x v="82"/>
    <x v="85"/>
    <x v="0"/>
    <x v="0"/>
    <x v="827"/>
    <x v="1188"/>
    <x v="1105"/>
    <x v="0"/>
  </r>
  <r>
    <x v="604"/>
    <x v="563"/>
    <x v="36"/>
    <x v="82"/>
    <x v="85"/>
    <x v="0"/>
    <x v="0"/>
    <x v="821"/>
    <x v="1179"/>
    <x v="1106"/>
    <x v="0"/>
  </r>
  <r>
    <x v="605"/>
    <x v="564"/>
    <x v="36"/>
    <x v="82"/>
    <x v="85"/>
    <x v="0"/>
    <x v="0"/>
    <x v="821"/>
    <x v="1179"/>
    <x v="1107"/>
    <x v="0"/>
  </r>
  <r>
    <x v="606"/>
    <x v="565"/>
    <x v="36"/>
    <x v="82"/>
    <x v="85"/>
    <x v="0"/>
    <x v="0"/>
    <x v="828"/>
    <x v="1189"/>
    <x v="1108"/>
    <x v="0"/>
  </r>
  <r>
    <x v="607"/>
    <x v="566"/>
    <x v="36"/>
    <x v="82"/>
    <x v="85"/>
    <x v="0"/>
    <x v="0"/>
    <x v="821"/>
    <x v="1179"/>
    <x v="1109"/>
    <x v="0"/>
  </r>
  <r>
    <x v="608"/>
    <x v="567"/>
    <x v="36"/>
    <x v="82"/>
    <x v="85"/>
    <x v="0"/>
    <x v="0"/>
    <x v="821"/>
    <x v="1179"/>
    <x v="1110"/>
    <x v="0"/>
  </r>
  <r>
    <x v="609"/>
    <x v="568"/>
    <x v="36"/>
    <x v="82"/>
    <x v="85"/>
    <x v="0"/>
    <x v="0"/>
    <x v="821"/>
    <x v="1179"/>
    <x v="1111"/>
    <x v="0"/>
  </r>
  <r>
    <x v="610"/>
    <x v="569"/>
    <x v="36"/>
    <x v="82"/>
    <x v="85"/>
    <x v="0"/>
    <x v="0"/>
    <x v="826"/>
    <x v="1187"/>
    <x v="1112"/>
    <x v="0"/>
  </r>
  <r>
    <x v="611"/>
    <x v="570"/>
    <x v="36"/>
    <x v="82"/>
    <x v="85"/>
    <x v="0"/>
    <x v="0"/>
    <x v="821"/>
    <x v="1179"/>
    <x v="1113"/>
    <x v="0"/>
  </r>
  <r>
    <x v="612"/>
    <x v="571"/>
    <x v="36"/>
    <x v="82"/>
    <x v="85"/>
    <x v="0"/>
    <x v="0"/>
    <x v="821"/>
    <x v="1179"/>
    <x v="1114"/>
    <x v="0"/>
  </r>
  <r>
    <x v="613"/>
    <x v="572"/>
    <x v="36"/>
    <x v="82"/>
    <x v="85"/>
    <x v="0"/>
    <x v="0"/>
    <x v="821"/>
    <x v="1179"/>
    <x v="1115"/>
    <x v="0"/>
  </r>
  <r>
    <x v="614"/>
    <x v="573"/>
    <x v="36"/>
    <x v="82"/>
    <x v="85"/>
    <x v="0"/>
    <x v="0"/>
    <x v="821"/>
    <x v="1179"/>
    <x v="1116"/>
    <x v="0"/>
  </r>
  <r>
    <x v="615"/>
    <x v="574"/>
    <x v="36"/>
    <x v="82"/>
    <x v="85"/>
    <x v="0"/>
    <x v="0"/>
    <x v="826"/>
    <x v="1187"/>
    <x v="1117"/>
    <x v="0"/>
  </r>
  <r>
    <x v="616"/>
    <x v="575"/>
    <x v="36"/>
    <x v="82"/>
    <x v="85"/>
    <x v="0"/>
    <x v="0"/>
    <x v="821"/>
    <x v="1179"/>
    <x v="1118"/>
    <x v="0"/>
  </r>
  <r>
    <x v="617"/>
    <x v="576"/>
    <x v="36"/>
    <x v="82"/>
    <x v="85"/>
    <x v="0"/>
    <x v="0"/>
    <x v="821"/>
    <x v="1179"/>
    <x v="1119"/>
    <x v="0"/>
  </r>
  <r>
    <x v="618"/>
    <x v="577"/>
    <x v="36"/>
    <x v="82"/>
    <x v="85"/>
    <x v="0"/>
    <x v="0"/>
    <x v="829"/>
    <x v="1190"/>
    <x v="1120"/>
    <x v="0"/>
  </r>
  <r>
    <x v="619"/>
    <x v="578"/>
    <x v="36"/>
    <x v="82"/>
    <x v="85"/>
    <x v="0"/>
    <x v="0"/>
    <x v="821"/>
    <x v="1179"/>
    <x v="1121"/>
    <x v="0"/>
  </r>
  <r>
    <x v="620"/>
    <x v="579"/>
    <x v="36"/>
    <x v="82"/>
    <x v="85"/>
    <x v="0"/>
    <x v="0"/>
    <x v="821"/>
    <x v="1179"/>
    <x v="1122"/>
    <x v="0"/>
  </r>
  <r>
    <x v="621"/>
    <x v="580"/>
    <x v="36"/>
    <x v="82"/>
    <x v="85"/>
    <x v="0"/>
    <x v="0"/>
    <x v="826"/>
    <x v="1187"/>
    <x v="1123"/>
    <x v="0"/>
  </r>
  <r>
    <x v="622"/>
    <x v="581"/>
    <x v="36"/>
    <x v="82"/>
    <x v="85"/>
    <x v="0"/>
    <x v="0"/>
    <x v="821"/>
    <x v="1179"/>
    <x v="1124"/>
    <x v="0"/>
  </r>
  <r>
    <x v="623"/>
    <x v="582"/>
    <x v="36"/>
    <x v="82"/>
    <x v="85"/>
    <x v="0"/>
    <x v="0"/>
    <x v="821"/>
    <x v="1179"/>
    <x v="1125"/>
    <x v="0"/>
  </r>
  <r>
    <x v="624"/>
    <x v="583"/>
    <x v="2"/>
    <x v="48"/>
    <x v="50"/>
    <x v="636"/>
    <x v="29"/>
    <x v="830"/>
    <x v="1191"/>
    <x v="1126"/>
    <x v="30"/>
  </r>
  <r>
    <x v="624"/>
    <x v="583"/>
    <x v="1"/>
    <x v="1"/>
    <x v="1"/>
    <x v="0"/>
    <x v="0"/>
    <x v="0"/>
    <x v="517"/>
    <x v="1127"/>
    <x v="0"/>
  </r>
  <r>
    <x v="625"/>
    <x v="584"/>
    <x v="36"/>
    <x v="82"/>
    <x v="85"/>
    <x v="0"/>
    <x v="0"/>
    <x v="821"/>
    <x v="1179"/>
    <x v="1128"/>
    <x v="0"/>
  </r>
  <r>
    <x v="626"/>
    <x v="585"/>
    <x v="36"/>
    <x v="82"/>
    <x v="85"/>
    <x v="0"/>
    <x v="0"/>
    <x v="821"/>
    <x v="1179"/>
    <x v="1129"/>
    <x v="0"/>
  </r>
  <r>
    <x v="627"/>
    <x v="586"/>
    <x v="36"/>
    <x v="82"/>
    <x v="85"/>
    <x v="0"/>
    <x v="0"/>
    <x v="826"/>
    <x v="1187"/>
    <x v="1130"/>
    <x v="0"/>
  </r>
  <r>
    <x v="628"/>
    <x v="587"/>
    <x v="36"/>
    <x v="82"/>
    <x v="85"/>
    <x v="0"/>
    <x v="0"/>
    <x v="821"/>
    <x v="1179"/>
    <x v="1131"/>
    <x v="0"/>
  </r>
  <r>
    <x v="629"/>
    <x v="588"/>
    <x v="3"/>
    <x v="70"/>
    <x v="81"/>
    <x v="710"/>
    <x v="6"/>
    <x v="831"/>
    <x v="1192"/>
    <x v="657"/>
    <x v="0"/>
  </r>
  <r>
    <x v="629"/>
    <x v="588"/>
    <x v="3"/>
    <x v="48"/>
    <x v="50"/>
    <x v="711"/>
    <x v="29"/>
    <x v="832"/>
    <x v="1193"/>
    <x v="1132"/>
    <x v="0"/>
  </r>
  <r>
    <x v="629"/>
    <x v="588"/>
    <x v="23"/>
    <x v="49"/>
    <x v="51"/>
    <x v="0"/>
    <x v="0"/>
    <x v="0"/>
    <x v="1194"/>
    <x v="1133"/>
    <x v="0"/>
  </r>
  <r>
    <x v="630"/>
    <x v="589"/>
    <x v="36"/>
    <x v="82"/>
    <x v="85"/>
    <x v="0"/>
    <x v="0"/>
    <x v="821"/>
    <x v="1179"/>
    <x v="1134"/>
    <x v="0"/>
  </r>
  <r>
    <x v="631"/>
    <x v="590"/>
    <x v="24"/>
    <x v="49"/>
    <x v="51"/>
    <x v="0"/>
    <x v="0"/>
    <x v="0"/>
    <x v="654"/>
    <x v="657"/>
    <x v="0"/>
  </r>
  <r>
    <x v="632"/>
    <x v="591"/>
    <x v="36"/>
    <x v="82"/>
    <x v="85"/>
    <x v="0"/>
    <x v="0"/>
    <x v="821"/>
    <x v="1179"/>
    <x v="1134"/>
    <x v="0"/>
  </r>
  <r>
    <x v="633"/>
    <x v="592"/>
    <x v="24"/>
    <x v="49"/>
    <x v="51"/>
    <x v="0"/>
    <x v="0"/>
    <x v="0"/>
    <x v="654"/>
    <x v="657"/>
    <x v="0"/>
  </r>
  <r>
    <x v="634"/>
    <x v="593"/>
    <x v="36"/>
    <x v="82"/>
    <x v="85"/>
    <x v="0"/>
    <x v="0"/>
    <x v="821"/>
    <x v="1179"/>
    <x v="1134"/>
    <x v="0"/>
  </r>
  <r>
    <x v="635"/>
    <x v="594"/>
    <x v="24"/>
    <x v="49"/>
    <x v="51"/>
    <x v="0"/>
    <x v="0"/>
    <x v="0"/>
    <x v="654"/>
    <x v="657"/>
    <x v="0"/>
  </r>
  <r>
    <x v="636"/>
    <x v="595"/>
    <x v="36"/>
    <x v="82"/>
    <x v="85"/>
    <x v="0"/>
    <x v="0"/>
    <x v="825"/>
    <x v="1186"/>
    <x v="1135"/>
    <x v="0"/>
  </r>
  <r>
    <x v="637"/>
    <x v="596"/>
    <x v="24"/>
    <x v="49"/>
    <x v="51"/>
    <x v="0"/>
    <x v="0"/>
    <x v="0"/>
    <x v="1195"/>
    <x v="657"/>
    <x v="0"/>
  </r>
  <r>
    <x v="638"/>
    <x v="597"/>
    <x v="36"/>
    <x v="82"/>
    <x v="85"/>
    <x v="0"/>
    <x v="0"/>
    <x v="820"/>
    <x v="1177"/>
    <x v="1136"/>
    <x v="0"/>
  </r>
  <r>
    <x v="639"/>
    <x v="598"/>
    <x v="24"/>
    <x v="49"/>
    <x v="51"/>
    <x v="0"/>
    <x v="0"/>
    <x v="0"/>
    <x v="1196"/>
    <x v="657"/>
    <x v="0"/>
  </r>
  <r>
    <x v="640"/>
    <x v="599"/>
    <x v="36"/>
    <x v="82"/>
    <x v="85"/>
    <x v="0"/>
    <x v="0"/>
    <x v="821"/>
    <x v="1179"/>
    <x v="1134"/>
    <x v="0"/>
  </r>
  <r>
    <x v="641"/>
    <x v="600"/>
    <x v="2"/>
    <x v="48"/>
    <x v="50"/>
    <x v="712"/>
    <x v="66"/>
    <x v="833"/>
    <x v="1197"/>
    <x v="1137"/>
    <x v="73"/>
  </r>
  <r>
    <x v="641"/>
    <x v="600"/>
    <x v="24"/>
    <x v="49"/>
    <x v="51"/>
    <x v="0"/>
    <x v="213"/>
    <x v="0"/>
    <x v="1198"/>
    <x v="1138"/>
    <x v="0"/>
  </r>
  <r>
    <x v="642"/>
    <x v="601"/>
    <x v="36"/>
    <x v="82"/>
    <x v="85"/>
    <x v="0"/>
    <x v="0"/>
    <x v="821"/>
    <x v="1179"/>
    <x v="1139"/>
    <x v="0"/>
  </r>
  <r>
    <x v="643"/>
    <x v="602"/>
    <x v="2"/>
    <x v="48"/>
    <x v="50"/>
    <x v="713"/>
    <x v="214"/>
    <x v="834"/>
    <x v="1199"/>
    <x v="1140"/>
    <x v="141"/>
  </r>
  <r>
    <x v="643"/>
    <x v="602"/>
    <x v="1"/>
    <x v="1"/>
    <x v="1"/>
    <x v="0"/>
    <x v="0"/>
    <x v="0"/>
    <x v="35"/>
    <x v="1141"/>
    <x v="0"/>
  </r>
  <r>
    <x v="644"/>
    <x v="603"/>
    <x v="36"/>
    <x v="82"/>
    <x v="85"/>
    <x v="0"/>
    <x v="0"/>
    <x v="821"/>
    <x v="1179"/>
    <x v="1142"/>
    <x v="0"/>
  </r>
  <r>
    <x v="645"/>
    <x v="604"/>
    <x v="3"/>
    <x v="48"/>
    <x v="50"/>
    <x v="714"/>
    <x v="215"/>
    <x v="835"/>
    <x v="1200"/>
    <x v="657"/>
    <x v="0"/>
  </r>
  <r>
    <x v="645"/>
    <x v="604"/>
    <x v="23"/>
    <x v="49"/>
    <x v="51"/>
    <x v="0"/>
    <x v="0"/>
    <x v="0"/>
    <x v="1201"/>
    <x v="1143"/>
    <x v="0"/>
  </r>
  <r>
    <x v="646"/>
    <x v="605"/>
    <x v="36"/>
    <x v="82"/>
    <x v="85"/>
    <x v="0"/>
    <x v="0"/>
    <x v="826"/>
    <x v="1187"/>
    <x v="1144"/>
    <x v="0"/>
  </r>
  <r>
    <x v="647"/>
    <x v="606"/>
    <x v="24"/>
    <x v="49"/>
    <x v="51"/>
    <x v="0"/>
    <x v="0"/>
    <x v="0"/>
    <x v="1202"/>
    <x v="657"/>
    <x v="0"/>
  </r>
  <r>
    <x v="648"/>
    <x v="607"/>
    <x v="36"/>
    <x v="82"/>
    <x v="85"/>
    <x v="0"/>
    <x v="0"/>
    <x v="820"/>
    <x v="1177"/>
    <x v="1136"/>
    <x v="0"/>
  </r>
  <r>
    <x v="649"/>
    <x v="608"/>
    <x v="24"/>
    <x v="49"/>
    <x v="51"/>
    <x v="0"/>
    <x v="0"/>
    <x v="0"/>
    <x v="1196"/>
    <x v="657"/>
    <x v="0"/>
  </r>
  <r>
    <x v="650"/>
    <x v="609"/>
    <x v="36"/>
    <x v="82"/>
    <x v="85"/>
    <x v="0"/>
    <x v="0"/>
    <x v="820"/>
    <x v="1177"/>
    <x v="1136"/>
    <x v="0"/>
  </r>
  <r>
    <x v="651"/>
    <x v="610"/>
    <x v="24"/>
    <x v="49"/>
    <x v="51"/>
    <x v="0"/>
    <x v="0"/>
    <x v="0"/>
    <x v="1196"/>
    <x v="657"/>
    <x v="0"/>
  </r>
  <r>
    <x v="652"/>
    <x v="611"/>
    <x v="36"/>
    <x v="82"/>
    <x v="85"/>
    <x v="0"/>
    <x v="0"/>
    <x v="821"/>
    <x v="1179"/>
    <x v="1134"/>
    <x v="0"/>
  </r>
  <r>
    <x v="653"/>
    <x v="612"/>
    <x v="24"/>
    <x v="49"/>
    <x v="51"/>
    <x v="0"/>
    <x v="0"/>
    <x v="0"/>
    <x v="654"/>
    <x v="657"/>
    <x v="0"/>
  </r>
  <r>
    <x v="654"/>
    <x v="613"/>
    <x v="36"/>
    <x v="82"/>
    <x v="85"/>
    <x v="0"/>
    <x v="0"/>
    <x v="821"/>
    <x v="1179"/>
    <x v="1134"/>
    <x v="0"/>
  </r>
  <r>
    <x v="655"/>
    <x v="614"/>
    <x v="24"/>
    <x v="49"/>
    <x v="51"/>
    <x v="0"/>
    <x v="0"/>
    <x v="0"/>
    <x v="654"/>
    <x v="657"/>
    <x v="0"/>
  </r>
  <r>
    <x v="656"/>
    <x v="615"/>
    <x v="36"/>
    <x v="82"/>
    <x v="85"/>
    <x v="0"/>
    <x v="0"/>
    <x v="826"/>
    <x v="1187"/>
    <x v="1144"/>
    <x v="0"/>
  </r>
  <r>
    <x v="657"/>
    <x v="616"/>
    <x v="2"/>
    <x v="83"/>
    <x v="86"/>
    <x v="715"/>
    <x v="216"/>
    <x v="836"/>
    <x v="1203"/>
    <x v="1145"/>
    <x v="142"/>
  </r>
  <r>
    <x v="657"/>
    <x v="616"/>
    <x v="24"/>
    <x v="49"/>
    <x v="51"/>
    <x v="0"/>
    <x v="217"/>
    <x v="0"/>
    <x v="1204"/>
    <x v="1146"/>
    <x v="0"/>
  </r>
  <r>
    <x v="658"/>
    <x v="617"/>
    <x v="36"/>
    <x v="82"/>
    <x v="85"/>
    <x v="0"/>
    <x v="0"/>
    <x v="821"/>
    <x v="1179"/>
    <x v="1147"/>
    <x v="0"/>
  </r>
  <r>
    <x v="659"/>
    <x v="618"/>
    <x v="36"/>
    <x v="82"/>
    <x v="85"/>
    <x v="0"/>
    <x v="0"/>
    <x v="821"/>
    <x v="1179"/>
    <x v="1148"/>
    <x v="0"/>
  </r>
  <r>
    <x v="660"/>
    <x v="619"/>
    <x v="36"/>
    <x v="82"/>
    <x v="85"/>
    <x v="0"/>
    <x v="0"/>
    <x v="821"/>
    <x v="1179"/>
    <x v="1149"/>
    <x v="0"/>
  </r>
  <r>
    <x v="661"/>
    <x v="620"/>
    <x v="1"/>
    <x v="1"/>
    <x v="1"/>
    <x v="0"/>
    <x v="0"/>
    <x v="0"/>
    <x v="1205"/>
    <x v="1150"/>
    <x v="0"/>
  </r>
  <r>
    <x v="661"/>
    <x v="620"/>
    <x v="1"/>
    <x v="1"/>
    <x v="1"/>
    <x v="0"/>
    <x v="0"/>
    <x v="0"/>
    <x v="517"/>
    <x v="1151"/>
    <x v="0"/>
  </r>
  <r>
    <x v="662"/>
    <x v="621"/>
    <x v="36"/>
    <x v="82"/>
    <x v="85"/>
    <x v="0"/>
    <x v="0"/>
    <x v="821"/>
    <x v="1179"/>
    <x v="1152"/>
    <x v="0"/>
  </r>
  <r>
    <x v="663"/>
    <x v="622"/>
    <x v="23"/>
    <x v="49"/>
    <x v="51"/>
    <x v="0"/>
    <x v="0"/>
    <x v="0"/>
    <x v="1206"/>
    <x v="1153"/>
    <x v="0"/>
  </r>
  <r>
    <x v="664"/>
    <x v="623"/>
    <x v="36"/>
    <x v="82"/>
    <x v="85"/>
    <x v="0"/>
    <x v="0"/>
    <x v="837"/>
    <x v="1207"/>
    <x v="1154"/>
    <x v="0"/>
  </r>
  <r>
    <x v="665"/>
    <x v="624"/>
    <x v="24"/>
    <x v="49"/>
    <x v="51"/>
    <x v="0"/>
    <x v="0"/>
    <x v="0"/>
    <x v="1208"/>
    <x v="1153"/>
    <x v="0"/>
  </r>
  <r>
    <x v="666"/>
    <x v="621"/>
    <x v="35"/>
    <x v="81"/>
    <x v="84"/>
    <x v="403"/>
    <x v="66"/>
    <x v="838"/>
    <x v="1209"/>
    <x v="657"/>
    <x v="143"/>
  </r>
  <r>
    <x v="666"/>
    <x v="625"/>
    <x v="36"/>
    <x v="82"/>
    <x v="85"/>
    <x v="0"/>
    <x v="0"/>
    <x v="820"/>
    <x v="1177"/>
    <x v="1136"/>
    <x v="0"/>
  </r>
  <r>
    <x v="667"/>
    <x v="626"/>
    <x v="24"/>
    <x v="49"/>
    <x v="51"/>
    <x v="0"/>
    <x v="0"/>
    <x v="0"/>
    <x v="1196"/>
    <x v="657"/>
    <x v="0"/>
  </r>
  <r>
    <x v="668"/>
    <x v="627"/>
    <x v="36"/>
    <x v="82"/>
    <x v="85"/>
    <x v="0"/>
    <x v="0"/>
    <x v="821"/>
    <x v="1179"/>
    <x v="1134"/>
    <x v="0"/>
  </r>
  <r>
    <x v="669"/>
    <x v="628"/>
    <x v="3"/>
    <x v="56"/>
    <x v="58"/>
    <x v="716"/>
    <x v="218"/>
    <x v="839"/>
    <x v="1210"/>
    <x v="657"/>
    <x v="0"/>
  </r>
  <r>
    <x v="669"/>
    <x v="628"/>
    <x v="23"/>
    <x v="49"/>
    <x v="51"/>
    <x v="0"/>
    <x v="0"/>
    <x v="0"/>
    <x v="1211"/>
    <x v="1155"/>
    <x v="0"/>
  </r>
  <r>
    <x v="669"/>
    <x v="628"/>
    <x v="1"/>
    <x v="1"/>
    <x v="1"/>
    <x v="0"/>
    <x v="0"/>
    <x v="0"/>
    <x v="1212"/>
    <x v="1156"/>
    <x v="0"/>
  </r>
  <r>
    <x v="670"/>
    <x v="629"/>
    <x v="36"/>
    <x v="82"/>
    <x v="85"/>
    <x v="0"/>
    <x v="0"/>
    <x v="821"/>
    <x v="1179"/>
    <x v="1134"/>
    <x v="0"/>
  </r>
  <r>
    <x v="671"/>
    <x v="630"/>
    <x v="2"/>
    <x v="22"/>
    <x v="22"/>
    <x v="717"/>
    <x v="62"/>
    <x v="840"/>
    <x v="1213"/>
    <x v="1157"/>
    <x v="144"/>
  </r>
  <r>
    <x v="671"/>
    <x v="630"/>
    <x v="24"/>
    <x v="49"/>
    <x v="51"/>
    <x v="0"/>
    <x v="219"/>
    <x v="0"/>
    <x v="1214"/>
    <x v="1158"/>
    <x v="0"/>
  </r>
  <r>
    <x v="671"/>
    <x v="630"/>
    <x v="5"/>
    <x v="1"/>
    <x v="1"/>
    <x v="0"/>
    <x v="0"/>
    <x v="0"/>
    <x v="12"/>
    <x v="1159"/>
    <x v="0"/>
  </r>
  <r>
    <x v="672"/>
    <x v="631"/>
    <x v="36"/>
    <x v="82"/>
    <x v="85"/>
    <x v="0"/>
    <x v="0"/>
    <x v="821"/>
    <x v="1179"/>
    <x v="1159"/>
    <x v="0"/>
  </r>
  <r>
    <x v="673"/>
    <x v="632"/>
    <x v="3"/>
    <x v="22"/>
    <x v="22"/>
    <x v="718"/>
    <x v="62"/>
    <x v="841"/>
    <x v="1215"/>
    <x v="657"/>
    <x v="134"/>
  </r>
  <r>
    <x v="673"/>
    <x v="632"/>
    <x v="3"/>
    <x v="83"/>
    <x v="86"/>
    <x v="719"/>
    <x v="216"/>
    <x v="842"/>
    <x v="1216"/>
    <x v="1160"/>
    <x v="0"/>
  </r>
  <r>
    <x v="673"/>
    <x v="632"/>
    <x v="23"/>
    <x v="49"/>
    <x v="51"/>
    <x v="0"/>
    <x v="0"/>
    <x v="0"/>
    <x v="1217"/>
    <x v="1161"/>
    <x v="0"/>
  </r>
  <r>
    <x v="674"/>
    <x v="633"/>
    <x v="36"/>
    <x v="82"/>
    <x v="85"/>
    <x v="0"/>
    <x v="0"/>
    <x v="826"/>
    <x v="1187"/>
    <x v="1144"/>
    <x v="0"/>
  </r>
  <r>
    <x v="675"/>
    <x v="634"/>
    <x v="24"/>
    <x v="49"/>
    <x v="51"/>
    <x v="0"/>
    <x v="0"/>
    <x v="0"/>
    <x v="1202"/>
    <x v="657"/>
    <x v="0"/>
  </r>
  <r>
    <x v="675"/>
    <x v="97"/>
    <x v="25"/>
    <x v="49"/>
    <x v="51"/>
    <x v="0"/>
    <x v="0"/>
    <x v="843"/>
    <x v="1218"/>
    <x v="1162"/>
    <x v="0"/>
  </r>
  <r>
    <x v="676"/>
    <x v="635"/>
    <x v="37"/>
    <x v="81"/>
    <x v="84"/>
    <x v="720"/>
    <x v="220"/>
    <x v="844"/>
    <x v="1219"/>
    <x v="1163"/>
    <x v="143"/>
  </r>
  <r>
    <x v="676"/>
    <x v="635"/>
    <x v="36"/>
    <x v="82"/>
    <x v="85"/>
    <x v="0"/>
    <x v="0"/>
    <x v="821"/>
    <x v="1179"/>
    <x v="1164"/>
    <x v="0"/>
  </r>
  <r>
    <x v="677"/>
    <x v="636"/>
    <x v="23"/>
    <x v="49"/>
    <x v="51"/>
    <x v="0"/>
    <x v="0"/>
    <x v="0"/>
    <x v="1220"/>
    <x v="657"/>
    <x v="0"/>
  </r>
  <r>
    <x v="678"/>
    <x v="637"/>
    <x v="36"/>
    <x v="82"/>
    <x v="85"/>
    <x v="0"/>
    <x v="0"/>
    <x v="821"/>
    <x v="1179"/>
    <x v="1134"/>
    <x v="0"/>
  </r>
  <r>
    <x v="679"/>
    <x v="638"/>
    <x v="24"/>
    <x v="49"/>
    <x v="51"/>
    <x v="0"/>
    <x v="221"/>
    <x v="0"/>
    <x v="1221"/>
    <x v="1165"/>
    <x v="0"/>
  </r>
  <r>
    <x v="680"/>
    <x v="639"/>
    <x v="36"/>
    <x v="82"/>
    <x v="85"/>
    <x v="0"/>
    <x v="0"/>
    <x v="828"/>
    <x v="1189"/>
    <x v="1166"/>
    <x v="0"/>
  </r>
  <r>
    <x v="681"/>
    <x v="640"/>
    <x v="36"/>
    <x v="82"/>
    <x v="85"/>
    <x v="0"/>
    <x v="0"/>
    <x v="821"/>
    <x v="1179"/>
    <x v="1167"/>
    <x v="0"/>
  </r>
  <r>
    <x v="682"/>
    <x v="641"/>
    <x v="23"/>
    <x v="49"/>
    <x v="51"/>
    <x v="0"/>
    <x v="0"/>
    <x v="0"/>
    <x v="1222"/>
    <x v="657"/>
    <x v="0"/>
  </r>
  <r>
    <x v="683"/>
    <x v="642"/>
    <x v="38"/>
    <x v="82"/>
    <x v="87"/>
    <x v="0"/>
    <x v="0"/>
    <x v="825"/>
    <x v="1186"/>
    <x v="1135"/>
    <x v="0"/>
  </r>
  <r>
    <x v="684"/>
    <x v="643"/>
    <x v="24"/>
    <x v="49"/>
    <x v="51"/>
    <x v="0"/>
    <x v="0"/>
    <x v="0"/>
    <x v="1195"/>
    <x v="657"/>
    <x v="0"/>
  </r>
  <r>
    <x v="684"/>
    <x v="643"/>
    <x v="38"/>
    <x v="82"/>
    <x v="87"/>
    <x v="0"/>
    <x v="0"/>
    <x v="821"/>
    <x v="1179"/>
    <x v="1134"/>
    <x v="0"/>
  </r>
  <r>
    <x v="685"/>
    <x v="644"/>
    <x v="24"/>
    <x v="49"/>
    <x v="51"/>
    <x v="0"/>
    <x v="0"/>
    <x v="0"/>
    <x v="654"/>
    <x v="657"/>
    <x v="0"/>
  </r>
  <r>
    <x v="685"/>
    <x v="644"/>
    <x v="38"/>
    <x v="82"/>
    <x v="87"/>
    <x v="0"/>
    <x v="0"/>
    <x v="826"/>
    <x v="1187"/>
    <x v="1144"/>
    <x v="0"/>
  </r>
  <r>
    <x v="686"/>
    <x v="645"/>
    <x v="24"/>
    <x v="49"/>
    <x v="51"/>
    <x v="0"/>
    <x v="0"/>
    <x v="0"/>
    <x v="1202"/>
    <x v="657"/>
    <x v="0"/>
  </r>
  <r>
    <x v="686"/>
    <x v="645"/>
    <x v="38"/>
    <x v="82"/>
    <x v="87"/>
    <x v="0"/>
    <x v="0"/>
    <x v="821"/>
    <x v="1179"/>
    <x v="1134"/>
    <x v="0"/>
  </r>
  <r>
    <x v="687"/>
    <x v="646"/>
    <x v="24"/>
    <x v="49"/>
    <x v="51"/>
    <x v="0"/>
    <x v="222"/>
    <x v="0"/>
    <x v="1223"/>
    <x v="1168"/>
    <x v="0"/>
  </r>
  <r>
    <x v="687"/>
    <x v="646"/>
    <x v="38"/>
    <x v="82"/>
    <x v="87"/>
    <x v="0"/>
    <x v="0"/>
    <x v="821"/>
    <x v="1179"/>
    <x v="1169"/>
    <x v="0"/>
  </r>
  <r>
    <x v="688"/>
    <x v="647"/>
    <x v="38"/>
    <x v="82"/>
    <x v="87"/>
    <x v="0"/>
    <x v="0"/>
    <x v="821"/>
    <x v="1179"/>
    <x v="1170"/>
    <x v="0"/>
  </r>
  <r>
    <x v="689"/>
    <x v="646"/>
    <x v="39"/>
    <x v="81"/>
    <x v="88"/>
    <x v="721"/>
    <x v="66"/>
    <x v="845"/>
    <x v="1224"/>
    <x v="1171"/>
    <x v="145"/>
  </r>
  <r>
    <x v="689"/>
    <x v="648"/>
    <x v="38"/>
    <x v="82"/>
    <x v="87"/>
    <x v="0"/>
    <x v="0"/>
    <x v="821"/>
    <x v="1179"/>
    <x v="1172"/>
    <x v="0"/>
  </r>
  <r>
    <x v="690"/>
    <x v="649"/>
    <x v="38"/>
    <x v="82"/>
    <x v="87"/>
    <x v="0"/>
    <x v="0"/>
    <x v="826"/>
    <x v="1187"/>
    <x v="1173"/>
    <x v="0"/>
  </r>
  <r>
    <x v="691"/>
    <x v="650"/>
    <x v="38"/>
    <x v="82"/>
    <x v="87"/>
    <x v="0"/>
    <x v="0"/>
    <x v="821"/>
    <x v="1179"/>
    <x v="1174"/>
    <x v="0"/>
  </r>
  <r>
    <x v="692"/>
    <x v="651"/>
    <x v="38"/>
    <x v="82"/>
    <x v="87"/>
    <x v="0"/>
    <x v="0"/>
    <x v="821"/>
    <x v="1179"/>
    <x v="1175"/>
    <x v="0"/>
  </r>
  <r>
    <x v="693"/>
    <x v="652"/>
    <x v="21"/>
    <x v="23"/>
    <x v="26"/>
    <x v="0"/>
    <x v="223"/>
    <x v="0"/>
    <x v="0"/>
    <x v="1175"/>
    <x v="146"/>
  </r>
  <r>
    <x v="693"/>
    <x v="652"/>
    <x v="21"/>
    <x v="23"/>
    <x v="26"/>
    <x v="0"/>
    <x v="224"/>
    <x v="0"/>
    <x v="0"/>
    <x v="1175"/>
    <x v="147"/>
  </r>
  <r>
    <x v="693"/>
    <x v="652"/>
    <x v="38"/>
    <x v="82"/>
    <x v="87"/>
    <x v="0"/>
    <x v="0"/>
    <x v="821"/>
    <x v="1179"/>
    <x v="1176"/>
    <x v="0"/>
  </r>
  <r>
    <x v="694"/>
    <x v="653"/>
    <x v="38"/>
    <x v="82"/>
    <x v="87"/>
    <x v="0"/>
    <x v="0"/>
    <x v="821"/>
    <x v="1179"/>
    <x v="1177"/>
    <x v="0"/>
  </r>
  <r>
    <x v="695"/>
    <x v="654"/>
    <x v="38"/>
    <x v="82"/>
    <x v="87"/>
    <x v="0"/>
    <x v="0"/>
    <x v="826"/>
    <x v="1187"/>
    <x v="1178"/>
    <x v="0"/>
  </r>
  <r>
    <x v="696"/>
    <x v="655"/>
    <x v="38"/>
    <x v="82"/>
    <x v="87"/>
    <x v="0"/>
    <x v="0"/>
    <x v="821"/>
    <x v="1179"/>
    <x v="1179"/>
    <x v="0"/>
  </r>
  <r>
    <x v="697"/>
    <x v="656"/>
    <x v="38"/>
    <x v="82"/>
    <x v="87"/>
    <x v="0"/>
    <x v="0"/>
    <x v="821"/>
    <x v="1179"/>
    <x v="1180"/>
    <x v="0"/>
  </r>
  <r>
    <x v="698"/>
    <x v="657"/>
    <x v="38"/>
    <x v="82"/>
    <x v="87"/>
    <x v="0"/>
    <x v="0"/>
    <x v="821"/>
    <x v="1179"/>
    <x v="1181"/>
    <x v="0"/>
  </r>
  <r>
    <x v="699"/>
    <x v="658"/>
    <x v="23"/>
    <x v="49"/>
    <x v="51"/>
    <x v="0"/>
    <x v="0"/>
    <x v="0"/>
    <x v="1225"/>
    <x v="1182"/>
    <x v="0"/>
  </r>
  <r>
    <x v="699"/>
    <x v="658"/>
    <x v="3"/>
    <x v="22"/>
    <x v="22"/>
    <x v="722"/>
    <x v="225"/>
    <x v="846"/>
    <x v="1226"/>
    <x v="1183"/>
    <x v="0"/>
  </r>
  <r>
    <x v="699"/>
    <x v="658"/>
    <x v="38"/>
    <x v="82"/>
    <x v="87"/>
    <x v="0"/>
    <x v="0"/>
    <x v="821"/>
    <x v="1179"/>
    <x v="1184"/>
    <x v="0"/>
  </r>
  <r>
    <x v="700"/>
    <x v="659"/>
    <x v="23"/>
    <x v="49"/>
    <x v="51"/>
    <x v="0"/>
    <x v="0"/>
    <x v="0"/>
    <x v="1227"/>
    <x v="657"/>
    <x v="0"/>
  </r>
  <r>
    <x v="700"/>
    <x v="659"/>
    <x v="38"/>
    <x v="82"/>
    <x v="87"/>
    <x v="0"/>
    <x v="0"/>
    <x v="826"/>
    <x v="1187"/>
    <x v="1144"/>
    <x v="0"/>
  </r>
  <r>
    <x v="701"/>
    <x v="658"/>
    <x v="19"/>
    <x v="23"/>
    <x v="26"/>
    <x v="723"/>
    <x v="226"/>
    <x v="847"/>
    <x v="1228"/>
    <x v="1185"/>
    <x v="0"/>
  </r>
  <r>
    <x v="701"/>
    <x v="658"/>
    <x v="40"/>
    <x v="81"/>
    <x v="88"/>
    <x v="724"/>
    <x v="66"/>
    <x v="848"/>
    <x v="1229"/>
    <x v="1186"/>
    <x v="143"/>
  </r>
  <r>
    <x v="701"/>
    <x v="658"/>
    <x v="39"/>
    <x v="81"/>
    <x v="88"/>
    <x v="725"/>
    <x v="66"/>
    <x v="849"/>
    <x v="1230"/>
    <x v="1187"/>
    <x v="145"/>
  </r>
  <r>
    <x v="701"/>
    <x v="660"/>
    <x v="38"/>
    <x v="82"/>
    <x v="87"/>
    <x v="0"/>
    <x v="0"/>
    <x v="821"/>
    <x v="1179"/>
    <x v="1188"/>
    <x v="0"/>
  </r>
  <r>
    <x v="702"/>
    <x v="661"/>
    <x v="23"/>
    <x v="49"/>
    <x v="51"/>
    <x v="0"/>
    <x v="0"/>
    <x v="0"/>
    <x v="1231"/>
    <x v="657"/>
    <x v="0"/>
  </r>
  <r>
    <x v="702"/>
    <x v="661"/>
    <x v="38"/>
    <x v="82"/>
    <x v="87"/>
    <x v="0"/>
    <x v="0"/>
    <x v="821"/>
    <x v="1179"/>
    <x v="1134"/>
    <x v="0"/>
  </r>
  <r>
    <x v="703"/>
    <x v="662"/>
    <x v="24"/>
    <x v="49"/>
    <x v="51"/>
    <x v="0"/>
    <x v="0"/>
    <x v="0"/>
    <x v="654"/>
    <x v="657"/>
    <x v="0"/>
  </r>
  <r>
    <x v="703"/>
    <x v="662"/>
    <x v="38"/>
    <x v="82"/>
    <x v="87"/>
    <x v="0"/>
    <x v="0"/>
    <x v="821"/>
    <x v="1179"/>
    <x v="1134"/>
    <x v="0"/>
  </r>
  <r>
    <x v="704"/>
    <x v="663"/>
    <x v="24"/>
    <x v="49"/>
    <x v="51"/>
    <x v="0"/>
    <x v="0"/>
    <x v="0"/>
    <x v="654"/>
    <x v="657"/>
    <x v="0"/>
  </r>
  <r>
    <x v="704"/>
    <x v="663"/>
    <x v="38"/>
    <x v="82"/>
    <x v="87"/>
    <x v="0"/>
    <x v="0"/>
    <x v="821"/>
    <x v="1179"/>
    <x v="1134"/>
    <x v="0"/>
  </r>
  <r>
    <x v="705"/>
    <x v="664"/>
    <x v="24"/>
    <x v="49"/>
    <x v="51"/>
    <x v="0"/>
    <x v="0"/>
    <x v="0"/>
    <x v="654"/>
    <x v="657"/>
    <x v="0"/>
  </r>
  <r>
    <x v="705"/>
    <x v="664"/>
    <x v="38"/>
    <x v="82"/>
    <x v="87"/>
    <x v="0"/>
    <x v="0"/>
    <x v="826"/>
    <x v="1187"/>
    <x v="1144"/>
    <x v="0"/>
  </r>
  <r>
    <x v="706"/>
    <x v="665"/>
    <x v="24"/>
    <x v="49"/>
    <x v="51"/>
    <x v="0"/>
    <x v="0"/>
    <x v="0"/>
    <x v="1202"/>
    <x v="657"/>
    <x v="0"/>
  </r>
  <r>
    <x v="706"/>
    <x v="665"/>
    <x v="38"/>
    <x v="82"/>
    <x v="87"/>
    <x v="0"/>
    <x v="0"/>
    <x v="821"/>
    <x v="1179"/>
    <x v="1134"/>
    <x v="0"/>
  </r>
  <r>
    <x v="707"/>
    <x v="666"/>
    <x v="24"/>
    <x v="49"/>
    <x v="51"/>
    <x v="0"/>
    <x v="0"/>
    <x v="0"/>
    <x v="654"/>
    <x v="657"/>
    <x v="0"/>
  </r>
  <r>
    <x v="707"/>
    <x v="666"/>
    <x v="38"/>
    <x v="82"/>
    <x v="87"/>
    <x v="0"/>
    <x v="0"/>
    <x v="821"/>
    <x v="1179"/>
    <x v="1134"/>
    <x v="0"/>
  </r>
  <r>
    <x v="708"/>
    <x v="667"/>
    <x v="24"/>
    <x v="49"/>
    <x v="51"/>
    <x v="0"/>
    <x v="0"/>
    <x v="0"/>
    <x v="654"/>
    <x v="657"/>
    <x v="0"/>
  </r>
  <r>
    <x v="708"/>
    <x v="667"/>
    <x v="38"/>
    <x v="82"/>
    <x v="87"/>
    <x v="0"/>
    <x v="0"/>
    <x v="821"/>
    <x v="1179"/>
    <x v="1134"/>
    <x v="0"/>
  </r>
  <r>
    <x v="709"/>
    <x v="668"/>
    <x v="24"/>
    <x v="49"/>
    <x v="51"/>
    <x v="0"/>
    <x v="0"/>
    <x v="0"/>
    <x v="654"/>
    <x v="657"/>
    <x v="0"/>
  </r>
  <r>
    <x v="709"/>
    <x v="668"/>
    <x v="38"/>
    <x v="82"/>
    <x v="87"/>
    <x v="0"/>
    <x v="0"/>
    <x v="821"/>
    <x v="1179"/>
    <x v="1134"/>
    <x v="0"/>
  </r>
  <r>
    <x v="710"/>
    <x v="669"/>
    <x v="24"/>
    <x v="49"/>
    <x v="51"/>
    <x v="0"/>
    <x v="0"/>
    <x v="0"/>
    <x v="654"/>
    <x v="657"/>
    <x v="0"/>
  </r>
  <r>
    <x v="710"/>
    <x v="669"/>
    <x v="38"/>
    <x v="82"/>
    <x v="87"/>
    <x v="0"/>
    <x v="0"/>
    <x v="826"/>
    <x v="1187"/>
    <x v="1144"/>
    <x v="0"/>
  </r>
  <r>
    <x v="711"/>
    <x v="670"/>
    <x v="24"/>
    <x v="49"/>
    <x v="51"/>
    <x v="0"/>
    <x v="0"/>
    <x v="0"/>
    <x v="1202"/>
    <x v="657"/>
    <x v="0"/>
  </r>
  <r>
    <x v="711"/>
    <x v="670"/>
    <x v="38"/>
    <x v="82"/>
    <x v="87"/>
    <x v="0"/>
    <x v="0"/>
    <x v="821"/>
    <x v="1179"/>
    <x v="1134"/>
    <x v="0"/>
  </r>
  <r>
    <x v="712"/>
    <x v="671"/>
    <x v="24"/>
    <x v="49"/>
    <x v="51"/>
    <x v="0"/>
    <x v="0"/>
    <x v="0"/>
    <x v="654"/>
    <x v="657"/>
    <x v="0"/>
  </r>
  <r>
    <x v="712"/>
    <x v="671"/>
    <x v="38"/>
    <x v="82"/>
    <x v="87"/>
    <x v="0"/>
    <x v="0"/>
    <x v="821"/>
    <x v="1179"/>
    <x v="1134"/>
    <x v="0"/>
  </r>
  <r>
    <x v="713"/>
    <x v="672"/>
    <x v="24"/>
    <x v="49"/>
    <x v="51"/>
    <x v="0"/>
    <x v="0"/>
    <x v="0"/>
    <x v="654"/>
    <x v="657"/>
    <x v="0"/>
  </r>
  <r>
    <x v="713"/>
    <x v="672"/>
    <x v="38"/>
    <x v="82"/>
    <x v="87"/>
    <x v="0"/>
    <x v="0"/>
    <x v="821"/>
    <x v="1179"/>
    <x v="1134"/>
    <x v="0"/>
  </r>
  <r>
    <x v="714"/>
    <x v="673"/>
    <x v="24"/>
    <x v="49"/>
    <x v="51"/>
    <x v="0"/>
    <x v="0"/>
    <x v="0"/>
    <x v="654"/>
    <x v="657"/>
    <x v="0"/>
  </r>
  <r>
    <x v="714"/>
    <x v="673"/>
    <x v="38"/>
    <x v="82"/>
    <x v="87"/>
    <x v="0"/>
    <x v="0"/>
    <x v="821"/>
    <x v="1179"/>
    <x v="1134"/>
    <x v="0"/>
  </r>
  <r>
    <x v="715"/>
    <x v="674"/>
    <x v="24"/>
    <x v="49"/>
    <x v="51"/>
    <x v="0"/>
    <x v="0"/>
    <x v="0"/>
    <x v="654"/>
    <x v="657"/>
    <x v="0"/>
  </r>
  <r>
    <x v="715"/>
    <x v="674"/>
    <x v="38"/>
    <x v="82"/>
    <x v="87"/>
    <x v="0"/>
    <x v="0"/>
    <x v="826"/>
    <x v="1187"/>
    <x v="1144"/>
    <x v="0"/>
  </r>
  <r>
    <x v="716"/>
    <x v="675"/>
    <x v="24"/>
    <x v="49"/>
    <x v="51"/>
    <x v="0"/>
    <x v="0"/>
    <x v="0"/>
    <x v="1202"/>
    <x v="657"/>
    <x v="0"/>
  </r>
  <r>
    <x v="716"/>
    <x v="675"/>
    <x v="38"/>
    <x v="82"/>
    <x v="87"/>
    <x v="0"/>
    <x v="0"/>
    <x v="850"/>
    <x v="1232"/>
    <x v="1189"/>
    <x v="0"/>
  </r>
  <r>
    <x v="717"/>
    <x v="676"/>
    <x v="24"/>
    <x v="49"/>
    <x v="51"/>
    <x v="0"/>
    <x v="0"/>
    <x v="0"/>
    <x v="1233"/>
    <x v="657"/>
    <x v="0"/>
  </r>
  <r>
    <x v="717"/>
    <x v="676"/>
    <x v="38"/>
    <x v="82"/>
    <x v="87"/>
    <x v="0"/>
    <x v="0"/>
    <x v="821"/>
    <x v="1179"/>
    <x v="1134"/>
    <x v="0"/>
  </r>
  <r>
    <x v="718"/>
    <x v="677"/>
    <x v="24"/>
    <x v="49"/>
    <x v="51"/>
    <x v="0"/>
    <x v="227"/>
    <x v="0"/>
    <x v="1234"/>
    <x v="1190"/>
    <x v="0"/>
  </r>
  <r>
    <x v="718"/>
    <x v="677"/>
    <x v="38"/>
    <x v="82"/>
    <x v="87"/>
    <x v="0"/>
    <x v="0"/>
    <x v="821"/>
    <x v="1179"/>
    <x v="1191"/>
    <x v="0"/>
  </r>
  <r>
    <x v="719"/>
    <x v="678"/>
    <x v="23"/>
    <x v="49"/>
    <x v="51"/>
    <x v="0"/>
    <x v="0"/>
    <x v="0"/>
    <x v="1235"/>
    <x v="657"/>
    <x v="0"/>
  </r>
  <r>
    <x v="719"/>
    <x v="678"/>
    <x v="38"/>
    <x v="82"/>
    <x v="87"/>
    <x v="0"/>
    <x v="0"/>
    <x v="821"/>
    <x v="1179"/>
    <x v="1134"/>
    <x v="0"/>
  </r>
  <r>
    <x v="720"/>
    <x v="679"/>
    <x v="24"/>
    <x v="49"/>
    <x v="51"/>
    <x v="0"/>
    <x v="0"/>
    <x v="0"/>
    <x v="654"/>
    <x v="657"/>
    <x v="0"/>
  </r>
  <r>
    <x v="720"/>
    <x v="679"/>
    <x v="38"/>
    <x v="82"/>
    <x v="87"/>
    <x v="0"/>
    <x v="0"/>
    <x v="826"/>
    <x v="1187"/>
    <x v="1144"/>
    <x v="0"/>
  </r>
  <r>
    <x v="721"/>
    <x v="680"/>
    <x v="24"/>
    <x v="49"/>
    <x v="51"/>
    <x v="0"/>
    <x v="228"/>
    <x v="0"/>
    <x v="1236"/>
    <x v="1192"/>
    <x v="0"/>
  </r>
  <r>
    <x v="721"/>
    <x v="680"/>
    <x v="2"/>
    <x v="51"/>
    <x v="53"/>
    <x v="726"/>
    <x v="25"/>
    <x v="851"/>
    <x v="1237"/>
    <x v="657"/>
    <x v="148"/>
  </r>
  <r>
    <x v="721"/>
    <x v="680"/>
    <x v="38"/>
    <x v="82"/>
    <x v="87"/>
    <x v="0"/>
    <x v="0"/>
    <x v="821"/>
    <x v="1179"/>
    <x v="1134"/>
    <x v="0"/>
  </r>
  <r>
    <x v="722"/>
    <x v="681"/>
    <x v="24"/>
    <x v="49"/>
    <x v="51"/>
    <x v="0"/>
    <x v="0"/>
    <x v="0"/>
    <x v="654"/>
    <x v="657"/>
    <x v="0"/>
  </r>
  <r>
    <x v="722"/>
    <x v="681"/>
    <x v="38"/>
    <x v="82"/>
    <x v="87"/>
    <x v="0"/>
    <x v="0"/>
    <x v="821"/>
    <x v="1179"/>
    <x v="1134"/>
    <x v="0"/>
  </r>
  <r>
    <x v="723"/>
    <x v="682"/>
    <x v="24"/>
    <x v="49"/>
    <x v="51"/>
    <x v="0"/>
    <x v="0"/>
    <x v="0"/>
    <x v="654"/>
    <x v="657"/>
    <x v="0"/>
  </r>
  <r>
    <x v="723"/>
    <x v="682"/>
    <x v="6"/>
    <x v="51"/>
    <x v="53"/>
    <x v="0"/>
    <x v="0"/>
    <x v="852"/>
    <x v="1238"/>
    <x v="1193"/>
    <x v="0"/>
  </r>
  <r>
    <x v="723"/>
    <x v="682"/>
    <x v="38"/>
    <x v="82"/>
    <x v="87"/>
    <x v="0"/>
    <x v="0"/>
    <x v="821"/>
    <x v="1179"/>
    <x v="1194"/>
    <x v="0"/>
  </r>
  <r>
    <x v="724"/>
    <x v="683"/>
    <x v="38"/>
    <x v="82"/>
    <x v="87"/>
    <x v="0"/>
    <x v="0"/>
    <x v="821"/>
    <x v="1179"/>
    <x v="1195"/>
    <x v="0"/>
  </r>
  <r>
    <x v="725"/>
    <x v="684"/>
    <x v="38"/>
    <x v="82"/>
    <x v="87"/>
    <x v="0"/>
    <x v="0"/>
    <x v="826"/>
    <x v="1187"/>
    <x v="1196"/>
    <x v="0"/>
  </r>
  <r>
    <x v="726"/>
    <x v="685"/>
    <x v="38"/>
    <x v="82"/>
    <x v="87"/>
    <x v="0"/>
    <x v="0"/>
    <x v="821"/>
    <x v="1179"/>
    <x v="1197"/>
    <x v="0"/>
  </r>
  <r>
    <x v="727"/>
    <x v="686"/>
    <x v="1"/>
    <x v="1"/>
    <x v="1"/>
    <x v="0"/>
    <x v="0"/>
    <x v="0"/>
    <x v="1173"/>
    <x v="1198"/>
    <x v="0"/>
  </r>
  <r>
    <x v="727"/>
    <x v="686"/>
    <x v="23"/>
    <x v="49"/>
    <x v="51"/>
    <x v="0"/>
    <x v="0"/>
    <x v="0"/>
    <x v="1239"/>
    <x v="1199"/>
    <x v="0"/>
  </r>
  <r>
    <x v="727"/>
    <x v="686"/>
    <x v="38"/>
    <x v="82"/>
    <x v="87"/>
    <x v="0"/>
    <x v="0"/>
    <x v="821"/>
    <x v="1179"/>
    <x v="1200"/>
    <x v="0"/>
  </r>
  <r>
    <x v="728"/>
    <x v="687"/>
    <x v="38"/>
    <x v="82"/>
    <x v="87"/>
    <x v="0"/>
    <x v="0"/>
    <x v="821"/>
    <x v="1179"/>
    <x v="1201"/>
    <x v="0"/>
  </r>
  <r>
    <x v="729"/>
    <x v="686"/>
    <x v="39"/>
    <x v="81"/>
    <x v="88"/>
    <x v="727"/>
    <x v="66"/>
    <x v="853"/>
    <x v="1240"/>
    <x v="1202"/>
    <x v="149"/>
  </r>
  <r>
    <x v="729"/>
    <x v="688"/>
    <x v="38"/>
    <x v="82"/>
    <x v="87"/>
    <x v="0"/>
    <x v="0"/>
    <x v="821"/>
    <x v="1179"/>
    <x v="1203"/>
    <x v="0"/>
  </r>
  <r>
    <x v="730"/>
    <x v="689"/>
    <x v="38"/>
    <x v="82"/>
    <x v="87"/>
    <x v="0"/>
    <x v="0"/>
    <x v="827"/>
    <x v="1188"/>
    <x v="1204"/>
    <x v="0"/>
  </r>
  <r>
    <x v="731"/>
    <x v="690"/>
    <x v="38"/>
    <x v="82"/>
    <x v="87"/>
    <x v="0"/>
    <x v="0"/>
    <x v="850"/>
    <x v="1232"/>
    <x v="1205"/>
    <x v="0"/>
  </r>
  <r>
    <x v="732"/>
    <x v="691"/>
    <x v="38"/>
    <x v="82"/>
    <x v="87"/>
    <x v="0"/>
    <x v="0"/>
    <x v="850"/>
    <x v="1232"/>
    <x v="1206"/>
    <x v="0"/>
  </r>
  <r>
    <x v="733"/>
    <x v="692"/>
    <x v="38"/>
    <x v="82"/>
    <x v="87"/>
    <x v="0"/>
    <x v="0"/>
    <x v="850"/>
    <x v="1232"/>
    <x v="1207"/>
    <x v="0"/>
  </r>
  <r>
    <x v="734"/>
    <x v="693"/>
    <x v="38"/>
    <x v="82"/>
    <x v="87"/>
    <x v="0"/>
    <x v="0"/>
    <x v="850"/>
    <x v="1232"/>
    <x v="1208"/>
    <x v="0"/>
  </r>
  <r>
    <x v="735"/>
    <x v="694"/>
    <x v="38"/>
    <x v="82"/>
    <x v="87"/>
    <x v="0"/>
    <x v="0"/>
    <x v="827"/>
    <x v="1188"/>
    <x v="1209"/>
    <x v="0"/>
  </r>
  <r>
    <x v="736"/>
    <x v="695"/>
    <x v="38"/>
    <x v="82"/>
    <x v="87"/>
    <x v="0"/>
    <x v="0"/>
    <x v="850"/>
    <x v="1232"/>
    <x v="1210"/>
    <x v="0"/>
  </r>
  <r>
    <x v="737"/>
    <x v="696"/>
    <x v="38"/>
    <x v="82"/>
    <x v="87"/>
    <x v="0"/>
    <x v="0"/>
    <x v="821"/>
    <x v="1179"/>
    <x v="1211"/>
    <x v="0"/>
  </r>
  <r>
    <x v="738"/>
    <x v="697"/>
    <x v="38"/>
    <x v="82"/>
    <x v="87"/>
    <x v="0"/>
    <x v="0"/>
    <x v="821"/>
    <x v="1179"/>
    <x v="1212"/>
    <x v="0"/>
  </r>
  <r>
    <x v="739"/>
    <x v="698"/>
    <x v="5"/>
    <x v="1"/>
    <x v="1"/>
    <x v="0"/>
    <x v="0"/>
    <x v="0"/>
    <x v="1241"/>
    <x v="1213"/>
    <x v="0"/>
  </r>
  <r>
    <x v="739"/>
    <x v="698"/>
    <x v="38"/>
    <x v="82"/>
    <x v="87"/>
    <x v="0"/>
    <x v="0"/>
    <x v="821"/>
    <x v="1179"/>
    <x v="1214"/>
    <x v="0"/>
  </r>
  <r>
    <x v="740"/>
    <x v="699"/>
    <x v="38"/>
    <x v="82"/>
    <x v="87"/>
    <x v="0"/>
    <x v="0"/>
    <x v="854"/>
    <x v="219"/>
    <x v="1215"/>
    <x v="0"/>
  </r>
  <r>
    <x v="741"/>
    <x v="97"/>
    <x v="25"/>
    <x v="49"/>
    <x v="51"/>
    <x v="0"/>
    <x v="0"/>
    <x v="855"/>
    <x v="1242"/>
    <x v="1216"/>
    <x v="0"/>
  </r>
  <r>
    <x v="741"/>
    <x v="700"/>
    <x v="38"/>
    <x v="82"/>
    <x v="87"/>
    <x v="0"/>
    <x v="0"/>
    <x v="821"/>
    <x v="1179"/>
    <x v="1217"/>
    <x v="0"/>
  </r>
  <r>
    <x v="742"/>
    <x v="701"/>
    <x v="1"/>
    <x v="1"/>
    <x v="1"/>
    <x v="0"/>
    <x v="0"/>
    <x v="0"/>
    <x v="289"/>
    <x v="1218"/>
    <x v="0"/>
  </r>
  <r>
    <x v="742"/>
    <x v="701"/>
    <x v="23"/>
    <x v="49"/>
    <x v="51"/>
    <x v="0"/>
    <x v="0"/>
    <x v="0"/>
    <x v="1243"/>
    <x v="1219"/>
    <x v="0"/>
  </r>
  <r>
    <x v="742"/>
    <x v="701"/>
    <x v="38"/>
    <x v="82"/>
    <x v="87"/>
    <x v="0"/>
    <x v="0"/>
    <x v="850"/>
    <x v="1232"/>
    <x v="1220"/>
    <x v="0"/>
  </r>
  <r>
    <x v="743"/>
    <x v="702"/>
    <x v="38"/>
    <x v="82"/>
    <x v="87"/>
    <x v="0"/>
    <x v="0"/>
    <x v="850"/>
    <x v="1232"/>
    <x v="1221"/>
    <x v="0"/>
  </r>
  <r>
    <x v="744"/>
    <x v="701"/>
    <x v="39"/>
    <x v="81"/>
    <x v="88"/>
    <x v="728"/>
    <x v="31"/>
    <x v="856"/>
    <x v="1244"/>
    <x v="1222"/>
    <x v="150"/>
  </r>
  <r>
    <x v="744"/>
    <x v="703"/>
    <x v="38"/>
    <x v="82"/>
    <x v="87"/>
    <x v="0"/>
    <x v="0"/>
    <x v="821"/>
    <x v="1179"/>
    <x v="1223"/>
    <x v="0"/>
  </r>
  <r>
    <x v="745"/>
    <x v="704"/>
    <x v="38"/>
    <x v="82"/>
    <x v="87"/>
    <x v="0"/>
    <x v="0"/>
    <x v="827"/>
    <x v="1188"/>
    <x v="1224"/>
    <x v="0"/>
  </r>
  <r>
    <x v="746"/>
    <x v="705"/>
    <x v="38"/>
    <x v="82"/>
    <x v="87"/>
    <x v="0"/>
    <x v="0"/>
    <x v="850"/>
    <x v="1232"/>
    <x v="1225"/>
    <x v="0"/>
  </r>
  <r>
    <x v="747"/>
    <x v="706"/>
    <x v="38"/>
    <x v="82"/>
    <x v="87"/>
    <x v="0"/>
    <x v="0"/>
    <x v="850"/>
    <x v="1232"/>
    <x v="1226"/>
    <x v="0"/>
  </r>
  <r>
    <x v="748"/>
    <x v="707"/>
    <x v="38"/>
    <x v="82"/>
    <x v="87"/>
    <x v="0"/>
    <x v="0"/>
    <x v="857"/>
    <x v="1245"/>
    <x v="1227"/>
    <x v="0"/>
  </r>
  <r>
    <x v="749"/>
    <x v="708"/>
    <x v="38"/>
    <x v="82"/>
    <x v="87"/>
    <x v="0"/>
    <x v="0"/>
    <x v="854"/>
    <x v="219"/>
    <x v="1228"/>
    <x v="0"/>
  </r>
  <r>
    <x v="750"/>
    <x v="709"/>
    <x v="38"/>
    <x v="82"/>
    <x v="87"/>
    <x v="0"/>
    <x v="0"/>
    <x v="821"/>
    <x v="1179"/>
    <x v="1229"/>
    <x v="0"/>
  </r>
  <r>
    <x v="751"/>
    <x v="710"/>
    <x v="38"/>
    <x v="82"/>
    <x v="87"/>
    <x v="0"/>
    <x v="0"/>
    <x v="821"/>
    <x v="1179"/>
    <x v="1230"/>
    <x v="0"/>
  </r>
  <r>
    <x v="751"/>
    <x v="710"/>
    <x v="1"/>
    <x v="1"/>
    <x v="1"/>
    <x v="0"/>
    <x v="0"/>
    <x v="0"/>
    <x v="1246"/>
    <x v="1231"/>
    <x v="0"/>
  </r>
  <r>
    <x v="751"/>
    <x v="710"/>
    <x v="23"/>
    <x v="49"/>
    <x v="51"/>
    <x v="0"/>
    <x v="0"/>
    <x v="0"/>
    <x v="1247"/>
    <x v="1232"/>
    <x v="0"/>
  </r>
  <r>
    <x v="752"/>
    <x v="711"/>
    <x v="38"/>
    <x v="82"/>
    <x v="87"/>
    <x v="0"/>
    <x v="0"/>
    <x v="821"/>
    <x v="1179"/>
    <x v="1233"/>
    <x v="0"/>
  </r>
  <r>
    <x v="753"/>
    <x v="710"/>
    <x v="39"/>
    <x v="81"/>
    <x v="88"/>
    <x v="729"/>
    <x v="31"/>
    <x v="858"/>
    <x v="1248"/>
    <x v="1234"/>
    <x v="151"/>
  </r>
  <r>
    <x v="753"/>
    <x v="712"/>
    <x v="38"/>
    <x v="82"/>
    <x v="87"/>
    <x v="0"/>
    <x v="0"/>
    <x v="821"/>
    <x v="1179"/>
    <x v="1235"/>
    <x v="0"/>
  </r>
  <r>
    <x v="754"/>
    <x v="713"/>
    <x v="38"/>
    <x v="82"/>
    <x v="87"/>
    <x v="0"/>
    <x v="0"/>
    <x v="859"/>
    <x v="1249"/>
    <x v="1236"/>
    <x v="0"/>
  </r>
  <r>
    <x v="754"/>
    <x v="713"/>
    <x v="1"/>
    <x v="1"/>
    <x v="1"/>
    <x v="0"/>
    <x v="0"/>
    <x v="0"/>
    <x v="1250"/>
    <x v="1237"/>
    <x v="0"/>
  </r>
  <r>
    <x v="754"/>
    <x v="713"/>
    <x v="24"/>
    <x v="49"/>
    <x v="51"/>
    <x v="0"/>
    <x v="229"/>
    <x v="0"/>
    <x v="1251"/>
    <x v="1238"/>
    <x v="0"/>
  </r>
  <r>
    <x v="754"/>
    <x v="711"/>
    <x v="26"/>
    <x v="84"/>
    <x v="89"/>
    <x v="730"/>
    <x v="3"/>
    <x v="860"/>
    <x v="1252"/>
    <x v="657"/>
    <x v="0"/>
  </r>
  <r>
    <x v="755"/>
    <x v="714"/>
    <x v="38"/>
    <x v="82"/>
    <x v="87"/>
    <x v="0"/>
    <x v="0"/>
    <x v="850"/>
    <x v="1232"/>
    <x v="1189"/>
    <x v="0"/>
  </r>
  <r>
    <x v="755"/>
    <x v="714"/>
    <x v="24"/>
    <x v="49"/>
    <x v="51"/>
    <x v="0"/>
    <x v="0"/>
    <x v="0"/>
    <x v="1253"/>
    <x v="657"/>
    <x v="0"/>
  </r>
  <r>
    <x v="755"/>
    <x v="711"/>
    <x v="27"/>
    <x v="84"/>
    <x v="89"/>
    <x v="730"/>
    <x v="3"/>
    <x v="860"/>
    <x v="0"/>
    <x v="657"/>
    <x v="3"/>
  </r>
  <r>
    <x v="756"/>
    <x v="715"/>
    <x v="38"/>
    <x v="82"/>
    <x v="87"/>
    <x v="0"/>
    <x v="0"/>
    <x v="850"/>
    <x v="1232"/>
    <x v="1189"/>
    <x v="0"/>
  </r>
  <r>
    <x v="756"/>
    <x v="715"/>
    <x v="24"/>
    <x v="49"/>
    <x v="51"/>
    <x v="0"/>
    <x v="0"/>
    <x v="0"/>
    <x v="1233"/>
    <x v="657"/>
    <x v="0"/>
  </r>
  <r>
    <x v="756"/>
    <x v="711"/>
    <x v="34"/>
    <x v="84"/>
    <x v="89"/>
    <x v="730"/>
    <x v="3"/>
    <x v="860"/>
    <x v="0"/>
    <x v="657"/>
    <x v="0"/>
  </r>
  <r>
    <x v="756"/>
    <x v="711"/>
    <x v="28"/>
    <x v="84"/>
    <x v="89"/>
    <x v="730"/>
    <x v="3"/>
    <x v="0"/>
    <x v="0"/>
    <x v="657"/>
    <x v="3"/>
  </r>
  <r>
    <x v="757"/>
    <x v="716"/>
    <x v="38"/>
    <x v="82"/>
    <x v="87"/>
    <x v="0"/>
    <x v="0"/>
    <x v="850"/>
    <x v="1232"/>
    <x v="1189"/>
    <x v="0"/>
  </r>
  <r>
    <x v="757"/>
    <x v="716"/>
    <x v="24"/>
    <x v="49"/>
    <x v="51"/>
    <x v="0"/>
    <x v="0"/>
    <x v="0"/>
    <x v="1233"/>
    <x v="657"/>
    <x v="0"/>
  </r>
  <r>
    <x v="758"/>
    <x v="717"/>
    <x v="38"/>
    <x v="82"/>
    <x v="87"/>
    <x v="0"/>
    <x v="0"/>
    <x v="850"/>
    <x v="1232"/>
    <x v="1189"/>
    <x v="0"/>
  </r>
  <r>
    <x v="758"/>
    <x v="717"/>
    <x v="24"/>
    <x v="49"/>
    <x v="51"/>
    <x v="0"/>
    <x v="0"/>
    <x v="0"/>
    <x v="1233"/>
    <x v="657"/>
    <x v="0"/>
  </r>
  <r>
    <x v="759"/>
    <x v="718"/>
    <x v="24"/>
    <x v="49"/>
    <x v="51"/>
    <x v="0"/>
    <x v="0"/>
    <x v="0"/>
    <x v="1233"/>
    <x v="657"/>
    <x v="0"/>
  </r>
  <r>
    <x v="760"/>
    <x v="719"/>
    <x v="38"/>
    <x v="82"/>
    <x v="87"/>
    <x v="0"/>
    <x v="0"/>
    <x v="861"/>
    <x v="1254"/>
    <x v="1239"/>
    <x v="0"/>
  </r>
  <r>
    <x v="761"/>
    <x v="720"/>
    <x v="38"/>
    <x v="82"/>
    <x v="87"/>
    <x v="0"/>
    <x v="0"/>
    <x v="850"/>
    <x v="1232"/>
    <x v="1189"/>
    <x v="0"/>
  </r>
  <r>
    <x v="761"/>
    <x v="720"/>
    <x v="24"/>
    <x v="49"/>
    <x v="51"/>
    <x v="0"/>
    <x v="0"/>
    <x v="0"/>
    <x v="1255"/>
    <x v="657"/>
    <x v="0"/>
  </r>
  <r>
    <x v="762"/>
    <x v="721"/>
    <x v="38"/>
    <x v="82"/>
    <x v="87"/>
    <x v="0"/>
    <x v="0"/>
    <x v="850"/>
    <x v="1232"/>
    <x v="1189"/>
    <x v="0"/>
  </r>
  <r>
    <x v="762"/>
    <x v="721"/>
    <x v="24"/>
    <x v="49"/>
    <x v="51"/>
    <x v="0"/>
    <x v="0"/>
    <x v="0"/>
    <x v="1233"/>
    <x v="657"/>
    <x v="0"/>
  </r>
  <r>
    <x v="763"/>
    <x v="722"/>
    <x v="38"/>
    <x v="82"/>
    <x v="87"/>
    <x v="0"/>
    <x v="0"/>
    <x v="850"/>
    <x v="1232"/>
    <x v="1189"/>
    <x v="0"/>
  </r>
  <r>
    <x v="763"/>
    <x v="722"/>
    <x v="24"/>
    <x v="49"/>
    <x v="51"/>
    <x v="0"/>
    <x v="0"/>
    <x v="0"/>
    <x v="1233"/>
    <x v="657"/>
    <x v="0"/>
  </r>
  <r>
    <x v="764"/>
    <x v="723"/>
    <x v="38"/>
    <x v="82"/>
    <x v="87"/>
    <x v="0"/>
    <x v="0"/>
    <x v="859"/>
    <x v="1249"/>
    <x v="1236"/>
    <x v="0"/>
  </r>
  <r>
    <x v="764"/>
    <x v="723"/>
    <x v="24"/>
    <x v="49"/>
    <x v="51"/>
    <x v="0"/>
    <x v="0"/>
    <x v="0"/>
    <x v="1233"/>
    <x v="657"/>
    <x v="0"/>
  </r>
  <r>
    <x v="765"/>
    <x v="724"/>
    <x v="38"/>
    <x v="82"/>
    <x v="87"/>
    <x v="0"/>
    <x v="0"/>
    <x v="850"/>
    <x v="1232"/>
    <x v="1189"/>
    <x v="0"/>
  </r>
  <r>
    <x v="765"/>
    <x v="724"/>
    <x v="24"/>
    <x v="49"/>
    <x v="51"/>
    <x v="0"/>
    <x v="0"/>
    <x v="0"/>
    <x v="1253"/>
    <x v="657"/>
    <x v="0"/>
  </r>
  <r>
    <x v="766"/>
    <x v="725"/>
    <x v="38"/>
    <x v="82"/>
    <x v="87"/>
    <x v="0"/>
    <x v="0"/>
    <x v="850"/>
    <x v="1232"/>
    <x v="1189"/>
    <x v="0"/>
  </r>
  <r>
    <x v="766"/>
    <x v="725"/>
    <x v="24"/>
    <x v="49"/>
    <x v="51"/>
    <x v="0"/>
    <x v="0"/>
    <x v="0"/>
    <x v="1233"/>
    <x v="657"/>
    <x v="0"/>
  </r>
  <r>
    <x v="767"/>
    <x v="726"/>
    <x v="38"/>
    <x v="82"/>
    <x v="87"/>
    <x v="0"/>
    <x v="0"/>
    <x v="850"/>
    <x v="1232"/>
    <x v="1189"/>
    <x v="0"/>
  </r>
  <r>
    <x v="767"/>
    <x v="726"/>
    <x v="24"/>
    <x v="49"/>
    <x v="51"/>
    <x v="0"/>
    <x v="0"/>
    <x v="0"/>
    <x v="1233"/>
    <x v="657"/>
    <x v="0"/>
  </r>
  <r>
    <x v="768"/>
    <x v="727"/>
    <x v="38"/>
    <x v="82"/>
    <x v="87"/>
    <x v="0"/>
    <x v="0"/>
    <x v="850"/>
    <x v="1232"/>
    <x v="1189"/>
    <x v="0"/>
  </r>
  <r>
    <x v="768"/>
    <x v="727"/>
    <x v="24"/>
    <x v="49"/>
    <x v="51"/>
    <x v="0"/>
    <x v="0"/>
    <x v="0"/>
    <x v="1233"/>
    <x v="657"/>
    <x v="0"/>
  </r>
  <r>
    <x v="769"/>
    <x v="728"/>
    <x v="41"/>
    <x v="81"/>
    <x v="88"/>
    <x v="731"/>
    <x v="230"/>
    <x v="862"/>
    <x v="1256"/>
    <x v="1240"/>
    <x v="151"/>
  </r>
  <r>
    <x v="769"/>
    <x v="728"/>
    <x v="38"/>
    <x v="82"/>
    <x v="87"/>
    <x v="0"/>
    <x v="0"/>
    <x v="859"/>
    <x v="1249"/>
    <x v="1241"/>
    <x v="0"/>
  </r>
  <r>
    <x v="769"/>
    <x v="728"/>
    <x v="24"/>
    <x v="49"/>
    <x v="51"/>
    <x v="0"/>
    <x v="0"/>
    <x v="0"/>
    <x v="1233"/>
    <x v="657"/>
    <x v="0"/>
  </r>
  <r>
    <x v="770"/>
    <x v="729"/>
    <x v="38"/>
    <x v="82"/>
    <x v="87"/>
    <x v="0"/>
    <x v="0"/>
    <x v="850"/>
    <x v="1232"/>
    <x v="1189"/>
    <x v="0"/>
  </r>
  <r>
    <x v="770"/>
    <x v="729"/>
    <x v="4"/>
    <x v="1"/>
    <x v="1"/>
    <x v="0"/>
    <x v="0"/>
    <x v="0"/>
    <x v="1257"/>
    <x v="1242"/>
    <x v="0"/>
  </r>
  <r>
    <x v="770"/>
    <x v="729"/>
    <x v="24"/>
    <x v="49"/>
    <x v="51"/>
    <x v="0"/>
    <x v="231"/>
    <x v="0"/>
    <x v="1218"/>
    <x v="657"/>
    <x v="0"/>
  </r>
  <r>
    <x v="771"/>
    <x v="730"/>
    <x v="38"/>
    <x v="82"/>
    <x v="87"/>
    <x v="0"/>
    <x v="0"/>
    <x v="850"/>
    <x v="1232"/>
    <x v="1189"/>
    <x v="0"/>
  </r>
  <r>
    <x v="771"/>
    <x v="730"/>
    <x v="24"/>
    <x v="49"/>
    <x v="51"/>
    <x v="0"/>
    <x v="0"/>
    <x v="0"/>
    <x v="1233"/>
    <x v="657"/>
    <x v="0"/>
  </r>
  <r>
    <x v="772"/>
    <x v="729"/>
    <x v="40"/>
    <x v="81"/>
    <x v="88"/>
    <x v="732"/>
    <x v="31"/>
    <x v="863"/>
    <x v="1258"/>
    <x v="1243"/>
    <x v="150"/>
  </r>
  <r>
    <x v="772"/>
    <x v="729"/>
    <x v="39"/>
    <x v="85"/>
    <x v="90"/>
    <x v="733"/>
    <x v="24"/>
    <x v="864"/>
    <x v="1259"/>
    <x v="657"/>
    <x v="152"/>
  </r>
  <r>
    <x v="772"/>
    <x v="731"/>
    <x v="38"/>
    <x v="82"/>
    <x v="87"/>
    <x v="0"/>
    <x v="0"/>
    <x v="837"/>
    <x v="1207"/>
    <x v="1244"/>
    <x v="0"/>
  </r>
  <r>
    <x v="772"/>
    <x v="731"/>
    <x v="23"/>
    <x v="49"/>
    <x v="51"/>
    <x v="0"/>
    <x v="0"/>
    <x v="0"/>
    <x v="1260"/>
    <x v="1245"/>
    <x v="0"/>
  </r>
  <r>
    <x v="773"/>
    <x v="732"/>
    <x v="38"/>
    <x v="82"/>
    <x v="87"/>
    <x v="0"/>
    <x v="0"/>
    <x v="850"/>
    <x v="1232"/>
    <x v="1189"/>
    <x v="0"/>
  </r>
  <r>
    <x v="773"/>
    <x v="732"/>
    <x v="24"/>
    <x v="49"/>
    <x v="51"/>
    <x v="0"/>
    <x v="0"/>
    <x v="0"/>
    <x v="1208"/>
    <x v="657"/>
    <x v="0"/>
  </r>
  <r>
    <x v="774"/>
    <x v="733"/>
    <x v="38"/>
    <x v="82"/>
    <x v="87"/>
    <x v="0"/>
    <x v="0"/>
    <x v="859"/>
    <x v="1249"/>
    <x v="1236"/>
    <x v="0"/>
  </r>
  <r>
    <x v="774"/>
    <x v="733"/>
    <x v="24"/>
    <x v="49"/>
    <x v="51"/>
    <x v="0"/>
    <x v="0"/>
    <x v="0"/>
    <x v="1233"/>
    <x v="657"/>
    <x v="0"/>
  </r>
  <r>
    <x v="775"/>
    <x v="734"/>
    <x v="38"/>
    <x v="82"/>
    <x v="87"/>
    <x v="0"/>
    <x v="0"/>
    <x v="850"/>
    <x v="1232"/>
    <x v="1189"/>
    <x v="0"/>
  </r>
  <r>
    <x v="775"/>
    <x v="734"/>
    <x v="24"/>
    <x v="49"/>
    <x v="51"/>
    <x v="0"/>
    <x v="0"/>
    <x v="0"/>
    <x v="1253"/>
    <x v="657"/>
    <x v="0"/>
  </r>
  <r>
    <x v="776"/>
    <x v="735"/>
    <x v="38"/>
    <x v="82"/>
    <x v="87"/>
    <x v="0"/>
    <x v="0"/>
    <x v="850"/>
    <x v="1232"/>
    <x v="1189"/>
    <x v="0"/>
  </r>
  <r>
    <x v="776"/>
    <x v="735"/>
    <x v="24"/>
    <x v="49"/>
    <x v="51"/>
    <x v="0"/>
    <x v="0"/>
    <x v="0"/>
    <x v="1233"/>
    <x v="657"/>
    <x v="0"/>
  </r>
  <r>
    <x v="777"/>
    <x v="736"/>
    <x v="38"/>
    <x v="82"/>
    <x v="87"/>
    <x v="0"/>
    <x v="0"/>
    <x v="850"/>
    <x v="1232"/>
    <x v="1189"/>
    <x v="0"/>
  </r>
  <r>
    <x v="777"/>
    <x v="736"/>
    <x v="24"/>
    <x v="49"/>
    <x v="51"/>
    <x v="0"/>
    <x v="0"/>
    <x v="0"/>
    <x v="1233"/>
    <x v="657"/>
    <x v="0"/>
  </r>
  <r>
    <x v="778"/>
    <x v="737"/>
    <x v="38"/>
    <x v="82"/>
    <x v="87"/>
    <x v="0"/>
    <x v="0"/>
    <x v="850"/>
    <x v="1232"/>
    <x v="1189"/>
    <x v="0"/>
  </r>
  <r>
    <x v="778"/>
    <x v="737"/>
    <x v="24"/>
    <x v="49"/>
    <x v="51"/>
    <x v="0"/>
    <x v="0"/>
    <x v="0"/>
    <x v="1233"/>
    <x v="657"/>
    <x v="0"/>
  </r>
  <r>
    <x v="779"/>
    <x v="738"/>
    <x v="38"/>
    <x v="82"/>
    <x v="87"/>
    <x v="0"/>
    <x v="0"/>
    <x v="859"/>
    <x v="1249"/>
    <x v="1246"/>
    <x v="0"/>
  </r>
  <r>
    <x v="779"/>
    <x v="738"/>
    <x v="2"/>
    <x v="51"/>
    <x v="53"/>
    <x v="466"/>
    <x v="18"/>
    <x v="865"/>
    <x v="1261"/>
    <x v="1247"/>
    <x v="16"/>
  </r>
  <r>
    <x v="779"/>
    <x v="738"/>
    <x v="3"/>
    <x v="51"/>
    <x v="53"/>
    <x v="51"/>
    <x v="18"/>
    <x v="866"/>
    <x v="1262"/>
    <x v="1248"/>
    <x v="148"/>
  </r>
  <r>
    <x v="780"/>
    <x v="739"/>
    <x v="38"/>
    <x v="82"/>
    <x v="87"/>
    <x v="0"/>
    <x v="0"/>
    <x v="850"/>
    <x v="1232"/>
    <x v="1249"/>
    <x v="0"/>
  </r>
  <r>
    <x v="781"/>
    <x v="740"/>
    <x v="38"/>
    <x v="82"/>
    <x v="87"/>
    <x v="0"/>
    <x v="0"/>
    <x v="850"/>
    <x v="1232"/>
    <x v="1250"/>
    <x v="0"/>
  </r>
  <r>
    <x v="782"/>
    <x v="741"/>
    <x v="38"/>
    <x v="82"/>
    <x v="87"/>
    <x v="0"/>
    <x v="0"/>
    <x v="837"/>
    <x v="1207"/>
    <x v="1251"/>
    <x v="0"/>
  </r>
  <r>
    <x v="783"/>
    <x v="742"/>
    <x v="38"/>
    <x v="82"/>
    <x v="87"/>
    <x v="0"/>
    <x v="0"/>
    <x v="837"/>
    <x v="1207"/>
    <x v="1252"/>
    <x v="0"/>
  </r>
  <r>
    <x v="783"/>
    <x v="742"/>
    <x v="24"/>
    <x v="49"/>
    <x v="51"/>
    <x v="0"/>
    <x v="232"/>
    <x v="0"/>
    <x v="1263"/>
    <x v="1253"/>
    <x v="0"/>
  </r>
  <r>
    <x v="784"/>
    <x v="743"/>
    <x v="38"/>
    <x v="82"/>
    <x v="87"/>
    <x v="0"/>
    <x v="0"/>
    <x v="867"/>
    <x v="1264"/>
    <x v="1254"/>
    <x v="0"/>
  </r>
  <r>
    <x v="784"/>
    <x v="743"/>
    <x v="23"/>
    <x v="49"/>
    <x v="51"/>
    <x v="0"/>
    <x v="0"/>
    <x v="0"/>
    <x v="1265"/>
    <x v="657"/>
    <x v="0"/>
  </r>
  <r>
    <x v="785"/>
    <x v="744"/>
    <x v="38"/>
    <x v="82"/>
    <x v="87"/>
    <x v="0"/>
    <x v="0"/>
    <x v="850"/>
    <x v="1232"/>
    <x v="1189"/>
    <x v="0"/>
  </r>
  <r>
    <x v="785"/>
    <x v="744"/>
    <x v="24"/>
    <x v="49"/>
    <x v="51"/>
    <x v="0"/>
    <x v="0"/>
    <x v="0"/>
    <x v="1266"/>
    <x v="657"/>
    <x v="0"/>
  </r>
  <r>
    <x v="786"/>
    <x v="745"/>
    <x v="38"/>
    <x v="82"/>
    <x v="87"/>
    <x v="0"/>
    <x v="0"/>
    <x v="850"/>
    <x v="1232"/>
    <x v="1189"/>
    <x v="0"/>
  </r>
  <r>
    <x v="786"/>
    <x v="745"/>
    <x v="24"/>
    <x v="49"/>
    <x v="51"/>
    <x v="0"/>
    <x v="0"/>
    <x v="0"/>
    <x v="1233"/>
    <x v="657"/>
    <x v="0"/>
  </r>
  <r>
    <x v="787"/>
    <x v="746"/>
    <x v="38"/>
    <x v="82"/>
    <x v="87"/>
    <x v="0"/>
    <x v="0"/>
    <x v="850"/>
    <x v="1232"/>
    <x v="1189"/>
    <x v="0"/>
  </r>
  <r>
    <x v="787"/>
    <x v="746"/>
    <x v="24"/>
    <x v="49"/>
    <x v="51"/>
    <x v="0"/>
    <x v="0"/>
    <x v="0"/>
    <x v="1233"/>
    <x v="657"/>
    <x v="0"/>
  </r>
  <r>
    <x v="788"/>
    <x v="747"/>
    <x v="38"/>
    <x v="82"/>
    <x v="87"/>
    <x v="0"/>
    <x v="0"/>
    <x v="850"/>
    <x v="1232"/>
    <x v="1189"/>
    <x v="0"/>
  </r>
  <r>
    <x v="788"/>
    <x v="747"/>
    <x v="24"/>
    <x v="49"/>
    <x v="51"/>
    <x v="0"/>
    <x v="0"/>
    <x v="0"/>
    <x v="1233"/>
    <x v="657"/>
    <x v="0"/>
  </r>
  <r>
    <x v="789"/>
    <x v="748"/>
    <x v="38"/>
    <x v="82"/>
    <x v="87"/>
    <x v="0"/>
    <x v="0"/>
    <x v="859"/>
    <x v="1249"/>
    <x v="1236"/>
    <x v="0"/>
  </r>
  <r>
    <x v="789"/>
    <x v="748"/>
    <x v="24"/>
    <x v="49"/>
    <x v="51"/>
    <x v="0"/>
    <x v="0"/>
    <x v="0"/>
    <x v="1233"/>
    <x v="657"/>
    <x v="0"/>
  </r>
  <r>
    <x v="790"/>
    <x v="749"/>
    <x v="38"/>
    <x v="82"/>
    <x v="87"/>
    <x v="0"/>
    <x v="0"/>
    <x v="850"/>
    <x v="1232"/>
    <x v="1189"/>
    <x v="0"/>
  </r>
  <r>
    <x v="790"/>
    <x v="749"/>
    <x v="24"/>
    <x v="49"/>
    <x v="51"/>
    <x v="0"/>
    <x v="0"/>
    <x v="0"/>
    <x v="1253"/>
    <x v="657"/>
    <x v="0"/>
  </r>
  <r>
    <x v="791"/>
    <x v="750"/>
    <x v="38"/>
    <x v="82"/>
    <x v="87"/>
    <x v="0"/>
    <x v="0"/>
    <x v="850"/>
    <x v="1232"/>
    <x v="1189"/>
    <x v="0"/>
  </r>
  <r>
    <x v="791"/>
    <x v="750"/>
    <x v="24"/>
    <x v="49"/>
    <x v="51"/>
    <x v="0"/>
    <x v="0"/>
    <x v="0"/>
    <x v="1233"/>
    <x v="657"/>
    <x v="0"/>
  </r>
  <r>
    <x v="792"/>
    <x v="751"/>
    <x v="38"/>
    <x v="82"/>
    <x v="87"/>
    <x v="0"/>
    <x v="0"/>
    <x v="850"/>
    <x v="1232"/>
    <x v="1255"/>
    <x v="0"/>
  </r>
  <r>
    <x v="792"/>
    <x v="751"/>
    <x v="24"/>
    <x v="49"/>
    <x v="51"/>
    <x v="0"/>
    <x v="233"/>
    <x v="0"/>
    <x v="1267"/>
    <x v="1256"/>
    <x v="0"/>
  </r>
  <r>
    <x v="793"/>
    <x v="752"/>
    <x v="38"/>
    <x v="82"/>
    <x v="87"/>
    <x v="0"/>
    <x v="0"/>
    <x v="850"/>
    <x v="1232"/>
    <x v="1189"/>
    <x v="0"/>
  </r>
  <r>
    <x v="793"/>
    <x v="752"/>
    <x v="23"/>
    <x v="49"/>
    <x v="51"/>
    <x v="0"/>
    <x v="0"/>
    <x v="0"/>
    <x v="1268"/>
    <x v="657"/>
    <x v="0"/>
  </r>
  <r>
    <x v="794"/>
    <x v="753"/>
    <x v="38"/>
    <x v="82"/>
    <x v="87"/>
    <x v="0"/>
    <x v="0"/>
    <x v="859"/>
    <x v="1249"/>
    <x v="1236"/>
    <x v="0"/>
  </r>
  <r>
    <x v="794"/>
    <x v="753"/>
    <x v="24"/>
    <x v="49"/>
    <x v="51"/>
    <x v="0"/>
    <x v="0"/>
    <x v="0"/>
    <x v="1233"/>
    <x v="657"/>
    <x v="0"/>
  </r>
  <r>
    <x v="795"/>
    <x v="754"/>
    <x v="38"/>
    <x v="82"/>
    <x v="87"/>
    <x v="0"/>
    <x v="0"/>
    <x v="850"/>
    <x v="1232"/>
    <x v="1189"/>
    <x v="0"/>
  </r>
  <r>
    <x v="795"/>
    <x v="754"/>
    <x v="24"/>
    <x v="49"/>
    <x v="51"/>
    <x v="0"/>
    <x v="0"/>
    <x v="0"/>
    <x v="1253"/>
    <x v="657"/>
    <x v="0"/>
  </r>
  <r>
    <x v="796"/>
    <x v="755"/>
    <x v="38"/>
    <x v="82"/>
    <x v="87"/>
    <x v="0"/>
    <x v="0"/>
    <x v="850"/>
    <x v="1232"/>
    <x v="1189"/>
    <x v="0"/>
  </r>
  <r>
    <x v="796"/>
    <x v="755"/>
    <x v="24"/>
    <x v="49"/>
    <x v="51"/>
    <x v="0"/>
    <x v="0"/>
    <x v="0"/>
    <x v="1233"/>
    <x v="657"/>
    <x v="0"/>
  </r>
  <r>
    <x v="797"/>
    <x v="756"/>
    <x v="38"/>
    <x v="82"/>
    <x v="87"/>
    <x v="0"/>
    <x v="0"/>
    <x v="850"/>
    <x v="1232"/>
    <x v="1189"/>
    <x v="0"/>
  </r>
  <r>
    <x v="797"/>
    <x v="756"/>
    <x v="24"/>
    <x v="49"/>
    <x v="51"/>
    <x v="0"/>
    <x v="234"/>
    <x v="0"/>
    <x v="1269"/>
    <x v="1257"/>
    <x v="0"/>
  </r>
  <r>
    <x v="797"/>
    <x v="756"/>
    <x v="3"/>
    <x v="84"/>
    <x v="89"/>
    <x v="37"/>
    <x v="3"/>
    <x v="868"/>
    <x v="1270"/>
    <x v="1258"/>
    <x v="0"/>
  </r>
  <r>
    <x v="797"/>
    <x v="756"/>
    <x v="2"/>
    <x v="43"/>
    <x v="44"/>
    <x v="734"/>
    <x v="65"/>
    <x v="869"/>
    <x v="1271"/>
    <x v="657"/>
    <x v="20"/>
  </r>
  <r>
    <x v="798"/>
    <x v="757"/>
    <x v="38"/>
    <x v="82"/>
    <x v="87"/>
    <x v="0"/>
    <x v="0"/>
    <x v="850"/>
    <x v="1232"/>
    <x v="1259"/>
    <x v="0"/>
  </r>
  <r>
    <x v="798"/>
    <x v="757"/>
    <x v="5"/>
    <x v="1"/>
    <x v="1"/>
    <x v="0"/>
    <x v="0"/>
    <x v="0"/>
    <x v="1272"/>
    <x v="1259"/>
    <x v="0"/>
  </r>
  <r>
    <x v="798"/>
    <x v="757"/>
    <x v="24"/>
    <x v="49"/>
    <x v="51"/>
    <x v="0"/>
    <x v="0"/>
    <x v="0"/>
    <x v="1233"/>
    <x v="1260"/>
    <x v="0"/>
  </r>
  <r>
    <x v="799"/>
    <x v="758"/>
    <x v="38"/>
    <x v="82"/>
    <x v="87"/>
    <x v="0"/>
    <x v="0"/>
    <x v="859"/>
    <x v="1249"/>
    <x v="1261"/>
    <x v="0"/>
  </r>
  <r>
    <x v="800"/>
    <x v="759"/>
    <x v="38"/>
    <x v="82"/>
    <x v="87"/>
    <x v="0"/>
    <x v="0"/>
    <x v="850"/>
    <x v="1232"/>
    <x v="1262"/>
    <x v="0"/>
  </r>
  <r>
    <x v="800"/>
    <x v="97"/>
    <x v="25"/>
    <x v="49"/>
    <x v="91"/>
    <x v="0"/>
    <x v="0"/>
    <x v="870"/>
    <x v="1273"/>
    <x v="1263"/>
    <x v="0"/>
  </r>
  <r>
    <x v="801"/>
    <x v="760"/>
    <x v="38"/>
    <x v="82"/>
    <x v="87"/>
    <x v="0"/>
    <x v="0"/>
    <x v="850"/>
    <x v="1232"/>
    <x v="1264"/>
    <x v="0"/>
  </r>
  <r>
    <x v="802"/>
    <x v="761"/>
    <x v="38"/>
    <x v="82"/>
    <x v="87"/>
    <x v="0"/>
    <x v="0"/>
    <x v="850"/>
    <x v="1232"/>
    <x v="1265"/>
    <x v="0"/>
  </r>
  <r>
    <x v="803"/>
    <x v="762"/>
    <x v="38"/>
    <x v="82"/>
    <x v="87"/>
    <x v="0"/>
    <x v="0"/>
    <x v="861"/>
    <x v="1254"/>
    <x v="1266"/>
    <x v="0"/>
  </r>
  <r>
    <x v="804"/>
    <x v="763"/>
    <x v="38"/>
    <x v="82"/>
    <x v="87"/>
    <x v="0"/>
    <x v="0"/>
    <x v="850"/>
    <x v="1232"/>
    <x v="1267"/>
    <x v="0"/>
  </r>
  <r>
    <x v="805"/>
    <x v="764"/>
    <x v="38"/>
    <x v="82"/>
    <x v="87"/>
    <x v="0"/>
    <x v="0"/>
    <x v="850"/>
    <x v="1232"/>
    <x v="1268"/>
    <x v="0"/>
  </r>
  <r>
    <x v="806"/>
    <x v="765"/>
    <x v="38"/>
    <x v="82"/>
    <x v="87"/>
    <x v="0"/>
    <x v="0"/>
    <x v="850"/>
    <x v="1232"/>
    <x v="1269"/>
    <x v="0"/>
  </r>
  <r>
    <x v="807"/>
    <x v="766"/>
    <x v="38"/>
    <x v="82"/>
    <x v="87"/>
    <x v="0"/>
    <x v="0"/>
    <x v="861"/>
    <x v="1254"/>
    <x v="1270"/>
    <x v="0"/>
  </r>
  <r>
    <x v="808"/>
    <x v="767"/>
    <x v="38"/>
    <x v="82"/>
    <x v="87"/>
    <x v="0"/>
    <x v="0"/>
    <x v="850"/>
    <x v="1232"/>
    <x v="1271"/>
    <x v="0"/>
  </r>
  <r>
    <x v="809"/>
    <x v="768"/>
    <x v="38"/>
    <x v="82"/>
    <x v="87"/>
    <x v="0"/>
    <x v="0"/>
    <x v="850"/>
    <x v="1232"/>
    <x v="1272"/>
    <x v="0"/>
  </r>
  <r>
    <x v="810"/>
    <x v="769"/>
    <x v="38"/>
    <x v="82"/>
    <x v="87"/>
    <x v="0"/>
    <x v="0"/>
    <x v="850"/>
    <x v="1232"/>
    <x v="1273"/>
    <x v="0"/>
  </r>
  <r>
    <x v="811"/>
    <x v="770"/>
    <x v="38"/>
    <x v="82"/>
    <x v="87"/>
    <x v="0"/>
    <x v="0"/>
    <x v="837"/>
    <x v="1207"/>
    <x v="1274"/>
    <x v="0"/>
  </r>
  <r>
    <x v="812"/>
    <x v="771"/>
    <x v="38"/>
    <x v="82"/>
    <x v="87"/>
    <x v="0"/>
    <x v="0"/>
    <x v="867"/>
    <x v="1264"/>
    <x v="1275"/>
    <x v="0"/>
  </r>
  <r>
    <x v="813"/>
    <x v="772"/>
    <x v="38"/>
    <x v="82"/>
    <x v="87"/>
    <x v="0"/>
    <x v="0"/>
    <x v="837"/>
    <x v="1207"/>
    <x v="1276"/>
    <x v="0"/>
  </r>
  <r>
    <x v="814"/>
    <x v="773"/>
    <x v="38"/>
    <x v="82"/>
    <x v="87"/>
    <x v="0"/>
    <x v="0"/>
    <x v="837"/>
    <x v="1207"/>
    <x v="1277"/>
    <x v="0"/>
  </r>
  <r>
    <x v="815"/>
    <x v="774"/>
    <x v="38"/>
    <x v="82"/>
    <x v="87"/>
    <x v="0"/>
    <x v="0"/>
    <x v="837"/>
    <x v="1207"/>
    <x v="1278"/>
    <x v="0"/>
  </r>
  <r>
    <x v="816"/>
    <x v="775"/>
    <x v="38"/>
    <x v="82"/>
    <x v="87"/>
    <x v="0"/>
    <x v="0"/>
    <x v="837"/>
    <x v="1207"/>
    <x v="1279"/>
    <x v="0"/>
  </r>
  <r>
    <x v="817"/>
    <x v="776"/>
    <x v="38"/>
    <x v="82"/>
    <x v="87"/>
    <x v="0"/>
    <x v="0"/>
    <x v="867"/>
    <x v="1264"/>
    <x v="1280"/>
    <x v="0"/>
  </r>
  <r>
    <x v="818"/>
    <x v="777"/>
    <x v="38"/>
    <x v="82"/>
    <x v="87"/>
    <x v="0"/>
    <x v="0"/>
    <x v="837"/>
    <x v="1207"/>
    <x v="1040"/>
    <x v="0"/>
  </r>
  <r>
    <x v="819"/>
    <x v="778"/>
    <x v="38"/>
    <x v="82"/>
    <x v="87"/>
    <x v="0"/>
    <x v="0"/>
    <x v="837"/>
    <x v="1207"/>
    <x v="1281"/>
    <x v="0"/>
  </r>
  <r>
    <x v="820"/>
    <x v="779"/>
    <x v="38"/>
    <x v="82"/>
    <x v="87"/>
    <x v="0"/>
    <x v="0"/>
    <x v="837"/>
    <x v="1207"/>
    <x v="1282"/>
    <x v="0"/>
  </r>
  <r>
    <x v="821"/>
    <x v="780"/>
    <x v="38"/>
    <x v="82"/>
    <x v="87"/>
    <x v="0"/>
    <x v="0"/>
    <x v="837"/>
    <x v="1207"/>
    <x v="1283"/>
    <x v="0"/>
  </r>
  <r>
    <x v="822"/>
    <x v="781"/>
    <x v="38"/>
    <x v="82"/>
    <x v="87"/>
    <x v="0"/>
    <x v="0"/>
    <x v="867"/>
    <x v="1264"/>
    <x v="1284"/>
    <x v="0"/>
  </r>
  <r>
    <x v="823"/>
    <x v="782"/>
    <x v="38"/>
    <x v="82"/>
    <x v="87"/>
    <x v="0"/>
    <x v="0"/>
    <x v="837"/>
    <x v="1207"/>
    <x v="1285"/>
    <x v="0"/>
  </r>
  <r>
    <x v="824"/>
    <x v="783"/>
    <x v="38"/>
    <x v="82"/>
    <x v="87"/>
    <x v="0"/>
    <x v="0"/>
    <x v="837"/>
    <x v="1207"/>
    <x v="1286"/>
    <x v="0"/>
  </r>
  <r>
    <x v="825"/>
    <x v="784"/>
    <x v="38"/>
    <x v="82"/>
    <x v="87"/>
    <x v="0"/>
    <x v="0"/>
    <x v="837"/>
    <x v="1207"/>
    <x v="1287"/>
    <x v="0"/>
  </r>
  <r>
    <x v="826"/>
    <x v="785"/>
    <x v="38"/>
    <x v="82"/>
    <x v="87"/>
    <x v="0"/>
    <x v="0"/>
    <x v="837"/>
    <x v="1207"/>
    <x v="1288"/>
    <x v="0"/>
  </r>
  <r>
    <x v="827"/>
    <x v="786"/>
    <x v="38"/>
    <x v="82"/>
    <x v="87"/>
    <x v="0"/>
    <x v="0"/>
    <x v="867"/>
    <x v="1264"/>
    <x v="1289"/>
    <x v="0"/>
  </r>
  <r>
    <x v="828"/>
    <x v="787"/>
    <x v="38"/>
    <x v="82"/>
    <x v="87"/>
    <x v="0"/>
    <x v="0"/>
    <x v="837"/>
    <x v="1207"/>
    <x v="1290"/>
    <x v="0"/>
  </r>
  <r>
    <x v="829"/>
    <x v="788"/>
    <x v="38"/>
    <x v="82"/>
    <x v="87"/>
    <x v="0"/>
    <x v="0"/>
    <x v="837"/>
    <x v="1207"/>
    <x v="1291"/>
    <x v="0"/>
  </r>
  <r>
    <x v="830"/>
    <x v="789"/>
    <x v="38"/>
    <x v="82"/>
    <x v="87"/>
    <x v="0"/>
    <x v="0"/>
    <x v="837"/>
    <x v="1207"/>
    <x v="1292"/>
    <x v="0"/>
  </r>
  <r>
    <x v="831"/>
    <x v="790"/>
    <x v="38"/>
    <x v="82"/>
    <x v="87"/>
    <x v="0"/>
    <x v="0"/>
    <x v="837"/>
    <x v="1207"/>
    <x v="1293"/>
    <x v="0"/>
  </r>
  <r>
    <x v="832"/>
    <x v="791"/>
    <x v="38"/>
    <x v="82"/>
    <x v="87"/>
    <x v="0"/>
    <x v="0"/>
    <x v="867"/>
    <x v="1264"/>
    <x v="1294"/>
    <x v="0"/>
  </r>
  <r>
    <x v="833"/>
    <x v="792"/>
    <x v="38"/>
    <x v="82"/>
    <x v="87"/>
    <x v="0"/>
    <x v="0"/>
    <x v="837"/>
    <x v="1207"/>
    <x v="1295"/>
    <x v="0"/>
  </r>
  <r>
    <x v="834"/>
    <x v="793"/>
    <x v="38"/>
    <x v="82"/>
    <x v="87"/>
    <x v="0"/>
    <x v="0"/>
    <x v="837"/>
    <x v="1207"/>
    <x v="1296"/>
    <x v="0"/>
  </r>
  <r>
    <x v="835"/>
    <x v="794"/>
    <x v="1"/>
    <x v="1"/>
    <x v="1"/>
    <x v="0"/>
    <x v="0"/>
    <x v="0"/>
    <x v="1274"/>
    <x v="1297"/>
    <x v="0"/>
  </r>
  <r>
    <x v="835"/>
    <x v="794"/>
    <x v="23"/>
    <x v="49"/>
    <x v="51"/>
    <x v="0"/>
    <x v="0"/>
    <x v="0"/>
    <x v="1275"/>
    <x v="1298"/>
    <x v="0"/>
  </r>
  <r>
    <x v="835"/>
    <x v="794"/>
    <x v="38"/>
    <x v="82"/>
    <x v="87"/>
    <x v="0"/>
    <x v="0"/>
    <x v="871"/>
    <x v="1276"/>
    <x v="1299"/>
    <x v="0"/>
  </r>
  <r>
    <x v="836"/>
    <x v="795"/>
    <x v="38"/>
    <x v="82"/>
    <x v="87"/>
    <x v="0"/>
    <x v="0"/>
    <x v="837"/>
    <x v="1207"/>
    <x v="1300"/>
    <x v="0"/>
  </r>
  <r>
    <x v="837"/>
    <x v="794"/>
    <x v="39"/>
    <x v="85"/>
    <x v="90"/>
    <x v="686"/>
    <x v="87"/>
    <x v="872"/>
    <x v="1277"/>
    <x v="1301"/>
    <x v="16"/>
  </r>
  <r>
    <x v="837"/>
    <x v="796"/>
    <x v="38"/>
    <x v="82"/>
    <x v="87"/>
    <x v="0"/>
    <x v="0"/>
    <x v="867"/>
    <x v="1264"/>
    <x v="1302"/>
    <x v="0"/>
  </r>
  <r>
    <x v="838"/>
    <x v="797"/>
    <x v="38"/>
    <x v="82"/>
    <x v="87"/>
    <x v="0"/>
    <x v="0"/>
    <x v="825"/>
    <x v="1186"/>
    <x v="1303"/>
    <x v="0"/>
  </r>
  <r>
    <x v="839"/>
    <x v="798"/>
    <x v="38"/>
    <x v="82"/>
    <x v="87"/>
    <x v="0"/>
    <x v="0"/>
    <x v="825"/>
    <x v="1186"/>
    <x v="1304"/>
    <x v="0"/>
  </r>
  <r>
    <x v="840"/>
    <x v="799"/>
    <x v="38"/>
    <x v="82"/>
    <x v="87"/>
    <x v="0"/>
    <x v="0"/>
    <x v="825"/>
    <x v="1186"/>
    <x v="1305"/>
    <x v="0"/>
  </r>
  <r>
    <x v="841"/>
    <x v="800"/>
    <x v="38"/>
    <x v="82"/>
    <x v="87"/>
    <x v="0"/>
    <x v="0"/>
    <x v="825"/>
    <x v="1186"/>
    <x v="1306"/>
    <x v="0"/>
  </r>
  <r>
    <x v="842"/>
    <x v="801"/>
    <x v="38"/>
    <x v="82"/>
    <x v="87"/>
    <x v="0"/>
    <x v="0"/>
    <x v="873"/>
    <x v="1278"/>
    <x v="1307"/>
    <x v="0"/>
  </r>
  <r>
    <x v="843"/>
    <x v="802"/>
    <x v="38"/>
    <x v="82"/>
    <x v="87"/>
    <x v="0"/>
    <x v="0"/>
    <x v="825"/>
    <x v="1186"/>
    <x v="1308"/>
    <x v="0"/>
  </r>
  <r>
    <x v="844"/>
    <x v="803"/>
    <x v="38"/>
    <x v="82"/>
    <x v="87"/>
    <x v="0"/>
    <x v="0"/>
    <x v="825"/>
    <x v="1186"/>
    <x v="1309"/>
    <x v="0"/>
  </r>
  <r>
    <x v="845"/>
    <x v="804"/>
    <x v="38"/>
    <x v="82"/>
    <x v="87"/>
    <x v="0"/>
    <x v="0"/>
    <x v="825"/>
    <x v="1186"/>
    <x v="1310"/>
    <x v="0"/>
  </r>
  <r>
    <x v="846"/>
    <x v="805"/>
    <x v="38"/>
    <x v="82"/>
    <x v="87"/>
    <x v="0"/>
    <x v="0"/>
    <x v="825"/>
    <x v="1186"/>
    <x v="1311"/>
    <x v="0"/>
  </r>
  <r>
    <x v="847"/>
    <x v="806"/>
    <x v="38"/>
    <x v="82"/>
    <x v="87"/>
    <x v="0"/>
    <x v="0"/>
    <x v="873"/>
    <x v="1278"/>
    <x v="1312"/>
    <x v="0"/>
  </r>
  <r>
    <x v="848"/>
    <x v="807"/>
    <x v="38"/>
    <x v="82"/>
    <x v="87"/>
    <x v="0"/>
    <x v="0"/>
    <x v="825"/>
    <x v="1186"/>
    <x v="1214"/>
    <x v="0"/>
  </r>
  <r>
    <x v="849"/>
    <x v="808"/>
    <x v="38"/>
    <x v="82"/>
    <x v="87"/>
    <x v="0"/>
    <x v="0"/>
    <x v="825"/>
    <x v="1186"/>
    <x v="1313"/>
    <x v="0"/>
  </r>
  <r>
    <x v="850"/>
    <x v="809"/>
    <x v="38"/>
    <x v="82"/>
    <x v="87"/>
    <x v="0"/>
    <x v="0"/>
    <x v="825"/>
    <x v="1186"/>
    <x v="1314"/>
    <x v="0"/>
  </r>
  <r>
    <x v="851"/>
    <x v="810"/>
    <x v="38"/>
    <x v="82"/>
    <x v="87"/>
    <x v="0"/>
    <x v="0"/>
    <x v="825"/>
    <x v="1186"/>
    <x v="1315"/>
    <x v="0"/>
  </r>
  <r>
    <x v="852"/>
    <x v="811"/>
    <x v="38"/>
    <x v="82"/>
    <x v="87"/>
    <x v="0"/>
    <x v="0"/>
    <x v="873"/>
    <x v="1278"/>
    <x v="1316"/>
    <x v="0"/>
  </r>
  <r>
    <x v="853"/>
    <x v="812"/>
    <x v="38"/>
    <x v="82"/>
    <x v="87"/>
    <x v="0"/>
    <x v="0"/>
    <x v="825"/>
    <x v="1186"/>
    <x v="1317"/>
    <x v="0"/>
  </r>
  <r>
    <x v="854"/>
    <x v="813"/>
    <x v="38"/>
    <x v="82"/>
    <x v="87"/>
    <x v="0"/>
    <x v="0"/>
    <x v="825"/>
    <x v="1186"/>
    <x v="1318"/>
    <x v="0"/>
  </r>
  <r>
    <x v="855"/>
    <x v="814"/>
    <x v="38"/>
    <x v="82"/>
    <x v="87"/>
    <x v="0"/>
    <x v="0"/>
    <x v="825"/>
    <x v="1186"/>
    <x v="1319"/>
    <x v="0"/>
  </r>
  <r>
    <x v="856"/>
    <x v="815"/>
    <x v="5"/>
    <x v="1"/>
    <x v="1"/>
    <x v="0"/>
    <x v="0"/>
    <x v="0"/>
    <x v="1279"/>
    <x v="1308"/>
    <x v="0"/>
  </r>
  <r>
    <x v="856"/>
    <x v="815"/>
    <x v="38"/>
    <x v="82"/>
    <x v="87"/>
    <x v="0"/>
    <x v="0"/>
    <x v="825"/>
    <x v="1186"/>
    <x v="1309"/>
    <x v="0"/>
  </r>
  <r>
    <x v="857"/>
    <x v="97"/>
    <x v="25"/>
    <x v="49"/>
    <x v="51"/>
    <x v="0"/>
    <x v="0"/>
    <x v="874"/>
    <x v="1280"/>
    <x v="1320"/>
    <x v="0"/>
  </r>
  <r>
    <x v="857"/>
    <x v="816"/>
    <x v="38"/>
    <x v="82"/>
    <x v="87"/>
    <x v="0"/>
    <x v="0"/>
    <x v="867"/>
    <x v="1264"/>
    <x v="1321"/>
    <x v="0"/>
  </r>
  <r>
    <x v="858"/>
    <x v="817"/>
    <x v="38"/>
    <x v="82"/>
    <x v="87"/>
    <x v="0"/>
    <x v="0"/>
    <x v="825"/>
    <x v="1186"/>
    <x v="1322"/>
    <x v="0"/>
  </r>
  <r>
    <x v="859"/>
    <x v="818"/>
    <x v="38"/>
    <x v="82"/>
    <x v="87"/>
    <x v="0"/>
    <x v="0"/>
    <x v="837"/>
    <x v="1207"/>
    <x v="1323"/>
    <x v="0"/>
  </r>
  <r>
    <x v="860"/>
    <x v="819"/>
    <x v="38"/>
    <x v="82"/>
    <x v="87"/>
    <x v="0"/>
    <x v="0"/>
    <x v="837"/>
    <x v="1207"/>
    <x v="1324"/>
    <x v="0"/>
  </r>
  <r>
    <x v="861"/>
    <x v="820"/>
    <x v="38"/>
    <x v="82"/>
    <x v="87"/>
    <x v="0"/>
    <x v="0"/>
    <x v="837"/>
    <x v="1207"/>
    <x v="1325"/>
    <x v="0"/>
  </r>
  <r>
    <x v="862"/>
    <x v="821"/>
    <x v="38"/>
    <x v="82"/>
    <x v="87"/>
    <x v="0"/>
    <x v="0"/>
    <x v="867"/>
    <x v="1264"/>
    <x v="1326"/>
    <x v="0"/>
  </r>
  <r>
    <x v="863"/>
    <x v="822"/>
    <x v="38"/>
    <x v="82"/>
    <x v="87"/>
    <x v="0"/>
    <x v="0"/>
    <x v="825"/>
    <x v="1186"/>
    <x v="1327"/>
    <x v="0"/>
  </r>
  <r>
    <x v="864"/>
    <x v="823"/>
    <x v="38"/>
    <x v="82"/>
    <x v="87"/>
    <x v="0"/>
    <x v="0"/>
    <x v="825"/>
    <x v="1186"/>
    <x v="1328"/>
    <x v="0"/>
  </r>
  <r>
    <x v="865"/>
    <x v="824"/>
    <x v="38"/>
    <x v="82"/>
    <x v="87"/>
    <x v="0"/>
    <x v="0"/>
    <x v="825"/>
    <x v="1186"/>
    <x v="1329"/>
    <x v="0"/>
  </r>
  <r>
    <x v="866"/>
    <x v="825"/>
    <x v="38"/>
    <x v="82"/>
    <x v="87"/>
    <x v="0"/>
    <x v="0"/>
    <x v="875"/>
    <x v="1281"/>
    <x v="1330"/>
    <x v="0"/>
  </r>
  <r>
    <x v="867"/>
    <x v="826"/>
    <x v="38"/>
    <x v="82"/>
    <x v="87"/>
    <x v="0"/>
    <x v="0"/>
    <x v="825"/>
    <x v="1186"/>
    <x v="1331"/>
    <x v="0"/>
  </r>
  <r>
    <x v="868"/>
    <x v="827"/>
    <x v="38"/>
    <x v="82"/>
    <x v="87"/>
    <x v="0"/>
    <x v="0"/>
    <x v="825"/>
    <x v="1186"/>
    <x v="1332"/>
    <x v="0"/>
  </r>
  <r>
    <x v="869"/>
    <x v="828"/>
    <x v="38"/>
    <x v="82"/>
    <x v="87"/>
    <x v="0"/>
    <x v="0"/>
    <x v="873"/>
    <x v="1278"/>
    <x v="1333"/>
    <x v="0"/>
  </r>
  <r>
    <x v="870"/>
    <x v="829"/>
    <x v="38"/>
    <x v="82"/>
    <x v="87"/>
    <x v="0"/>
    <x v="0"/>
    <x v="825"/>
    <x v="1186"/>
    <x v="1334"/>
    <x v="0"/>
  </r>
  <r>
    <x v="871"/>
    <x v="830"/>
    <x v="38"/>
    <x v="82"/>
    <x v="87"/>
    <x v="0"/>
    <x v="0"/>
    <x v="825"/>
    <x v="1186"/>
    <x v="1335"/>
    <x v="0"/>
  </r>
  <r>
    <x v="872"/>
    <x v="831"/>
    <x v="38"/>
    <x v="82"/>
    <x v="87"/>
    <x v="0"/>
    <x v="0"/>
    <x v="825"/>
    <x v="1186"/>
    <x v="1336"/>
    <x v="0"/>
  </r>
  <r>
    <x v="873"/>
    <x v="832"/>
    <x v="23"/>
    <x v="49"/>
    <x v="51"/>
    <x v="0"/>
    <x v="0"/>
    <x v="0"/>
    <x v="1282"/>
    <x v="1337"/>
    <x v="0"/>
  </r>
  <r>
    <x v="873"/>
    <x v="830"/>
    <x v="40"/>
    <x v="85"/>
    <x v="90"/>
    <x v="735"/>
    <x v="8"/>
    <x v="876"/>
    <x v="1283"/>
    <x v="657"/>
    <x v="19"/>
  </r>
  <r>
    <x v="873"/>
    <x v="832"/>
    <x v="38"/>
    <x v="82"/>
    <x v="87"/>
    <x v="0"/>
    <x v="0"/>
    <x v="825"/>
    <x v="1186"/>
    <x v="1135"/>
    <x v="0"/>
  </r>
  <r>
    <x v="874"/>
    <x v="833"/>
    <x v="24"/>
    <x v="49"/>
    <x v="51"/>
    <x v="0"/>
    <x v="0"/>
    <x v="0"/>
    <x v="1195"/>
    <x v="657"/>
    <x v="0"/>
  </r>
  <r>
    <x v="874"/>
    <x v="833"/>
    <x v="38"/>
    <x v="82"/>
    <x v="87"/>
    <x v="0"/>
    <x v="0"/>
    <x v="873"/>
    <x v="1278"/>
    <x v="1338"/>
    <x v="0"/>
  </r>
  <r>
    <x v="875"/>
    <x v="834"/>
    <x v="24"/>
    <x v="49"/>
    <x v="51"/>
    <x v="0"/>
    <x v="0"/>
    <x v="0"/>
    <x v="1284"/>
    <x v="657"/>
    <x v="0"/>
  </r>
  <r>
    <x v="875"/>
    <x v="834"/>
    <x v="38"/>
    <x v="82"/>
    <x v="87"/>
    <x v="0"/>
    <x v="0"/>
    <x v="825"/>
    <x v="1186"/>
    <x v="1135"/>
    <x v="0"/>
  </r>
  <r>
    <x v="876"/>
    <x v="835"/>
    <x v="24"/>
    <x v="49"/>
    <x v="51"/>
    <x v="0"/>
    <x v="0"/>
    <x v="0"/>
    <x v="1195"/>
    <x v="657"/>
    <x v="0"/>
  </r>
  <r>
    <x v="876"/>
    <x v="835"/>
    <x v="38"/>
    <x v="82"/>
    <x v="87"/>
    <x v="0"/>
    <x v="0"/>
    <x v="825"/>
    <x v="1186"/>
    <x v="1135"/>
    <x v="0"/>
  </r>
  <r>
    <x v="877"/>
    <x v="836"/>
    <x v="23"/>
    <x v="49"/>
    <x v="51"/>
    <x v="0"/>
    <x v="0"/>
    <x v="0"/>
    <x v="1285"/>
    <x v="1339"/>
    <x v="0"/>
  </r>
  <r>
    <x v="877"/>
    <x v="836"/>
    <x v="3"/>
    <x v="43"/>
    <x v="44"/>
    <x v="736"/>
    <x v="65"/>
    <x v="877"/>
    <x v="1286"/>
    <x v="657"/>
    <x v="0"/>
  </r>
  <r>
    <x v="877"/>
    <x v="836"/>
    <x v="38"/>
    <x v="82"/>
    <x v="87"/>
    <x v="0"/>
    <x v="0"/>
    <x v="837"/>
    <x v="1207"/>
    <x v="1244"/>
    <x v="0"/>
  </r>
  <r>
    <x v="878"/>
    <x v="837"/>
    <x v="24"/>
    <x v="49"/>
    <x v="51"/>
    <x v="0"/>
    <x v="0"/>
    <x v="0"/>
    <x v="1208"/>
    <x v="657"/>
    <x v="0"/>
  </r>
  <r>
    <x v="878"/>
    <x v="837"/>
    <x v="38"/>
    <x v="82"/>
    <x v="87"/>
    <x v="0"/>
    <x v="0"/>
    <x v="837"/>
    <x v="1207"/>
    <x v="1244"/>
    <x v="0"/>
  </r>
  <r>
    <x v="879"/>
    <x v="838"/>
    <x v="23"/>
    <x v="49"/>
    <x v="51"/>
    <x v="0"/>
    <x v="0"/>
    <x v="0"/>
    <x v="1287"/>
    <x v="1340"/>
    <x v="0"/>
  </r>
  <r>
    <x v="879"/>
    <x v="836"/>
    <x v="40"/>
    <x v="85"/>
    <x v="90"/>
    <x v="737"/>
    <x v="8"/>
    <x v="878"/>
    <x v="1288"/>
    <x v="657"/>
    <x v="101"/>
  </r>
  <r>
    <x v="879"/>
    <x v="838"/>
    <x v="38"/>
    <x v="82"/>
    <x v="87"/>
    <x v="0"/>
    <x v="0"/>
    <x v="867"/>
    <x v="1264"/>
    <x v="1254"/>
    <x v="0"/>
  </r>
  <r>
    <x v="880"/>
    <x v="839"/>
    <x v="24"/>
    <x v="49"/>
    <x v="51"/>
    <x v="0"/>
    <x v="0"/>
    <x v="0"/>
    <x v="1266"/>
    <x v="657"/>
    <x v="0"/>
  </r>
  <r>
    <x v="880"/>
    <x v="839"/>
    <x v="38"/>
    <x v="82"/>
    <x v="87"/>
    <x v="0"/>
    <x v="0"/>
    <x v="837"/>
    <x v="1207"/>
    <x v="1244"/>
    <x v="0"/>
  </r>
  <r>
    <x v="881"/>
    <x v="840"/>
    <x v="24"/>
    <x v="49"/>
    <x v="51"/>
    <x v="0"/>
    <x v="0"/>
    <x v="0"/>
    <x v="1208"/>
    <x v="657"/>
    <x v="0"/>
  </r>
  <r>
    <x v="881"/>
    <x v="840"/>
    <x v="38"/>
    <x v="82"/>
    <x v="87"/>
    <x v="0"/>
    <x v="0"/>
    <x v="837"/>
    <x v="1207"/>
    <x v="1244"/>
    <x v="0"/>
  </r>
  <r>
    <x v="882"/>
    <x v="841"/>
    <x v="24"/>
    <x v="49"/>
    <x v="51"/>
    <x v="0"/>
    <x v="0"/>
    <x v="0"/>
    <x v="1208"/>
    <x v="657"/>
    <x v="0"/>
  </r>
  <r>
    <x v="882"/>
    <x v="841"/>
    <x v="38"/>
    <x v="82"/>
    <x v="87"/>
    <x v="0"/>
    <x v="0"/>
    <x v="837"/>
    <x v="1207"/>
    <x v="1244"/>
    <x v="0"/>
  </r>
  <r>
    <x v="883"/>
    <x v="842"/>
    <x v="24"/>
    <x v="49"/>
    <x v="51"/>
    <x v="0"/>
    <x v="0"/>
    <x v="0"/>
    <x v="1208"/>
    <x v="657"/>
    <x v="0"/>
  </r>
  <r>
    <x v="883"/>
    <x v="842"/>
    <x v="38"/>
    <x v="82"/>
    <x v="87"/>
    <x v="0"/>
    <x v="0"/>
    <x v="837"/>
    <x v="1207"/>
    <x v="1244"/>
    <x v="0"/>
  </r>
  <r>
    <x v="884"/>
    <x v="843"/>
    <x v="24"/>
    <x v="49"/>
    <x v="51"/>
    <x v="0"/>
    <x v="0"/>
    <x v="0"/>
    <x v="1208"/>
    <x v="657"/>
    <x v="0"/>
  </r>
  <r>
    <x v="884"/>
    <x v="843"/>
    <x v="38"/>
    <x v="82"/>
    <x v="87"/>
    <x v="0"/>
    <x v="0"/>
    <x v="879"/>
    <x v="1289"/>
    <x v="1341"/>
    <x v="0"/>
  </r>
  <r>
    <x v="885"/>
    <x v="844"/>
    <x v="24"/>
    <x v="49"/>
    <x v="51"/>
    <x v="0"/>
    <x v="0"/>
    <x v="0"/>
    <x v="1290"/>
    <x v="657"/>
    <x v="0"/>
  </r>
  <r>
    <x v="885"/>
    <x v="844"/>
    <x v="38"/>
    <x v="82"/>
    <x v="87"/>
    <x v="0"/>
    <x v="0"/>
    <x v="837"/>
    <x v="1207"/>
    <x v="1244"/>
    <x v="0"/>
  </r>
  <r>
    <x v="886"/>
    <x v="845"/>
    <x v="24"/>
    <x v="49"/>
    <x v="51"/>
    <x v="0"/>
    <x v="0"/>
    <x v="0"/>
    <x v="1208"/>
    <x v="657"/>
    <x v="0"/>
  </r>
  <r>
    <x v="886"/>
    <x v="845"/>
    <x v="38"/>
    <x v="82"/>
    <x v="87"/>
    <x v="0"/>
    <x v="0"/>
    <x v="867"/>
    <x v="1264"/>
    <x v="1254"/>
    <x v="0"/>
  </r>
  <r>
    <x v="887"/>
    <x v="846"/>
    <x v="24"/>
    <x v="49"/>
    <x v="51"/>
    <x v="0"/>
    <x v="0"/>
    <x v="0"/>
    <x v="1266"/>
    <x v="657"/>
    <x v="0"/>
  </r>
  <r>
    <x v="887"/>
    <x v="846"/>
    <x v="38"/>
    <x v="82"/>
    <x v="87"/>
    <x v="0"/>
    <x v="0"/>
    <x v="837"/>
    <x v="1207"/>
    <x v="1244"/>
    <x v="0"/>
  </r>
  <r>
    <x v="888"/>
    <x v="847"/>
    <x v="24"/>
    <x v="49"/>
    <x v="51"/>
    <x v="0"/>
    <x v="0"/>
    <x v="0"/>
    <x v="1208"/>
    <x v="657"/>
    <x v="0"/>
  </r>
  <r>
    <x v="888"/>
    <x v="847"/>
    <x v="38"/>
    <x v="82"/>
    <x v="87"/>
    <x v="0"/>
    <x v="0"/>
    <x v="837"/>
    <x v="1207"/>
    <x v="1244"/>
    <x v="0"/>
  </r>
  <r>
    <x v="889"/>
    <x v="848"/>
    <x v="24"/>
    <x v="49"/>
    <x v="51"/>
    <x v="0"/>
    <x v="0"/>
    <x v="0"/>
    <x v="1208"/>
    <x v="657"/>
    <x v="0"/>
  </r>
  <r>
    <x v="889"/>
    <x v="848"/>
    <x v="38"/>
    <x v="82"/>
    <x v="87"/>
    <x v="0"/>
    <x v="0"/>
    <x v="837"/>
    <x v="1207"/>
    <x v="1244"/>
    <x v="0"/>
  </r>
  <r>
    <x v="890"/>
    <x v="849"/>
    <x v="24"/>
    <x v="49"/>
    <x v="51"/>
    <x v="0"/>
    <x v="0"/>
    <x v="0"/>
    <x v="1208"/>
    <x v="657"/>
    <x v="0"/>
  </r>
  <r>
    <x v="890"/>
    <x v="849"/>
    <x v="38"/>
    <x v="82"/>
    <x v="87"/>
    <x v="0"/>
    <x v="0"/>
    <x v="837"/>
    <x v="1207"/>
    <x v="1244"/>
    <x v="0"/>
  </r>
  <r>
    <x v="891"/>
    <x v="850"/>
    <x v="24"/>
    <x v="49"/>
    <x v="51"/>
    <x v="0"/>
    <x v="0"/>
    <x v="0"/>
    <x v="1208"/>
    <x v="657"/>
    <x v="0"/>
  </r>
  <r>
    <x v="891"/>
    <x v="850"/>
    <x v="38"/>
    <x v="82"/>
    <x v="87"/>
    <x v="0"/>
    <x v="0"/>
    <x v="867"/>
    <x v="1264"/>
    <x v="1254"/>
    <x v="0"/>
  </r>
  <r>
    <x v="892"/>
    <x v="851"/>
    <x v="24"/>
    <x v="49"/>
    <x v="51"/>
    <x v="0"/>
    <x v="0"/>
    <x v="0"/>
    <x v="1266"/>
    <x v="657"/>
    <x v="0"/>
  </r>
  <r>
    <x v="892"/>
    <x v="851"/>
    <x v="38"/>
    <x v="82"/>
    <x v="87"/>
    <x v="0"/>
    <x v="0"/>
    <x v="837"/>
    <x v="1207"/>
    <x v="1244"/>
    <x v="0"/>
  </r>
  <r>
    <x v="893"/>
    <x v="852"/>
    <x v="24"/>
    <x v="49"/>
    <x v="51"/>
    <x v="0"/>
    <x v="0"/>
    <x v="0"/>
    <x v="1208"/>
    <x v="657"/>
    <x v="0"/>
  </r>
  <r>
    <x v="894"/>
    <x v="853"/>
    <x v="38"/>
    <x v="82"/>
    <x v="87"/>
    <x v="0"/>
    <x v="0"/>
    <x v="854"/>
    <x v="219"/>
    <x v="1342"/>
    <x v="0"/>
  </r>
  <r>
    <x v="895"/>
    <x v="854"/>
    <x v="24"/>
    <x v="49"/>
    <x v="51"/>
    <x v="0"/>
    <x v="0"/>
    <x v="0"/>
    <x v="1291"/>
    <x v="657"/>
    <x v="0"/>
  </r>
  <r>
    <x v="895"/>
    <x v="854"/>
    <x v="38"/>
    <x v="82"/>
    <x v="87"/>
    <x v="0"/>
    <x v="0"/>
    <x v="837"/>
    <x v="1207"/>
    <x v="1244"/>
    <x v="0"/>
  </r>
  <r>
    <x v="896"/>
    <x v="855"/>
    <x v="24"/>
    <x v="49"/>
    <x v="51"/>
    <x v="0"/>
    <x v="0"/>
    <x v="0"/>
    <x v="1208"/>
    <x v="657"/>
    <x v="0"/>
  </r>
  <r>
    <x v="896"/>
    <x v="855"/>
    <x v="38"/>
    <x v="82"/>
    <x v="87"/>
    <x v="0"/>
    <x v="0"/>
    <x v="867"/>
    <x v="1264"/>
    <x v="1254"/>
    <x v="0"/>
  </r>
  <r>
    <x v="897"/>
    <x v="856"/>
    <x v="24"/>
    <x v="49"/>
    <x v="51"/>
    <x v="0"/>
    <x v="0"/>
    <x v="0"/>
    <x v="1266"/>
    <x v="657"/>
    <x v="0"/>
  </r>
  <r>
    <x v="897"/>
    <x v="856"/>
    <x v="38"/>
    <x v="82"/>
    <x v="87"/>
    <x v="0"/>
    <x v="0"/>
    <x v="837"/>
    <x v="1207"/>
    <x v="1244"/>
    <x v="0"/>
  </r>
  <r>
    <x v="898"/>
    <x v="857"/>
    <x v="24"/>
    <x v="49"/>
    <x v="51"/>
    <x v="0"/>
    <x v="0"/>
    <x v="0"/>
    <x v="1208"/>
    <x v="657"/>
    <x v="0"/>
  </r>
  <r>
    <x v="898"/>
    <x v="857"/>
    <x v="38"/>
    <x v="82"/>
    <x v="87"/>
    <x v="0"/>
    <x v="0"/>
    <x v="837"/>
    <x v="1207"/>
    <x v="1244"/>
    <x v="0"/>
  </r>
  <r>
    <x v="899"/>
    <x v="858"/>
    <x v="24"/>
    <x v="49"/>
    <x v="51"/>
    <x v="0"/>
    <x v="0"/>
    <x v="0"/>
    <x v="1208"/>
    <x v="657"/>
    <x v="0"/>
  </r>
  <r>
    <x v="899"/>
    <x v="858"/>
    <x v="38"/>
    <x v="82"/>
    <x v="87"/>
    <x v="0"/>
    <x v="0"/>
    <x v="837"/>
    <x v="1207"/>
    <x v="1244"/>
    <x v="0"/>
  </r>
  <r>
    <x v="900"/>
    <x v="859"/>
    <x v="24"/>
    <x v="49"/>
    <x v="51"/>
    <x v="0"/>
    <x v="0"/>
    <x v="0"/>
    <x v="1208"/>
    <x v="657"/>
    <x v="0"/>
  </r>
  <r>
    <x v="900"/>
    <x v="859"/>
    <x v="38"/>
    <x v="82"/>
    <x v="87"/>
    <x v="0"/>
    <x v="0"/>
    <x v="837"/>
    <x v="1207"/>
    <x v="1244"/>
    <x v="0"/>
  </r>
  <r>
    <x v="901"/>
    <x v="860"/>
    <x v="24"/>
    <x v="49"/>
    <x v="51"/>
    <x v="0"/>
    <x v="0"/>
    <x v="0"/>
    <x v="1208"/>
    <x v="657"/>
    <x v="0"/>
  </r>
  <r>
    <x v="901"/>
    <x v="860"/>
    <x v="38"/>
    <x v="82"/>
    <x v="87"/>
    <x v="0"/>
    <x v="0"/>
    <x v="867"/>
    <x v="1264"/>
    <x v="1254"/>
    <x v="0"/>
  </r>
  <r>
    <x v="902"/>
    <x v="861"/>
    <x v="24"/>
    <x v="49"/>
    <x v="51"/>
    <x v="0"/>
    <x v="0"/>
    <x v="0"/>
    <x v="1266"/>
    <x v="657"/>
    <x v="0"/>
  </r>
  <r>
    <x v="902"/>
    <x v="861"/>
    <x v="38"/>
    <x v="82"/>
    <x v="87"/>
    <x v="0"/>
    <x v="0"/>
    <x v="837"/>
    <x v="1207"/>
    <x v="1244"/>
    <x v="0"/>
  </r>
  <r>
    <x v="903"/>
    <x v="862"/>
    <x v="24"/>
    <x v="49"/>
    <x v="51"/>
    <x v="0"/>
    <x v="235"/>
    <x v="0"/>
    <x v="1292"/>
    <x v="1343"/>
    <x v="0"/>
  </r>
  <r>
    <x v="903"/>
    <x v="862"/>
    <x v="2"/>
    <x v="86"/>
    <x v="92"/>
    <x v="145"/>
    <x v="57"/>
    <x v="880"/>
    <x v="1293"/>
    <x v="657"/>
    <x v="56"/>
  </r>
  <r>
    <x v="903"/>
    <x v="862"/>
    <x v="38"/>
    <x v="82"/>
    <x v="87"/>
    <x v="0"/>
    <x v="0"/>
    <x v="837"/>
    <x v="1207"/>
    <x v="1244"/>
    <x v="0"/>
  </r>
  <r>
    <x v="904"/>
    <x v="863"/>
    <x v="23"/>
    <x v="49"/>
    <x v="51"/>
    <x v="0"/>
    <x v="0"/>
    <x v="0"/>
    <x v="1294"/>
    <x v="1344"/>
    <x v="0"/>
  </r>
  <r>
    <x v="904"/>
    <x v="863"/>
    <x v="3"/>
    <x v="86"/>
    <x v="92"/>
    <x v="308"/>
    <x v="57"/>
    <x v="881"/>
    <x v="1295"/>
    <x v="657"/>
    <x v="0"/>
  </r>
  <r>
    <x v="904"/>
    <x v="863"/>
    <x v="38"/>
    <x v="82"/>
    <x v="87"/>
    <x v="0"/>
    <x v="0"/>
    <x v="837"/>
    <x v="1207"/>
    <x v="1244"/>
    <x v="0"/>
  </r>
  <r>
    <x v="905"/>
    <x v="864"/>
    <x v="24"/>
    <x v="49"/>
    <x v="51"/>
    <x v="0"/>
    <x v="0"/>
    <x v="0"/>
    <x v="1208"/>
    <x v="657"/>
    <x v="0"/>
  </r>
  <r>
    <x v="905"/>
    <x v="864"/>
    <x v="38"/>
    <x v="82"/>
    <x v="87"/>
    <x v="0"/>
    <x v="0"/>
    <x v="837"/>
    <x v="1207"/>
    <x v="1244"/>
    <x v="0"/>
  </r>
  <r>
    <x v="906"/>
    <x v="865"/>
    <x v="24"/>
    <x v="49"/>
    <x v="51"/>
    <x v="0"/>
    <x v="0"/>
    <x v="0"/>
    <x v="1208"/>
    <x v="657"/>
    <x v="0"/>
  </r>
  <r>
    <x v="906"/>
    <x v="865"/>
    <x v="38"/>
    <x v="82"/>
    <x v="87"/>
    <x v="0"/>
    <x v="0"/>
    <x v="867"/>
    <x v="1264"/>
    <x v="1254"/>
    <x v="0"/>
  </r>
  <r>
    <x v="907"/>
    <x v="866"/>
    <x v="24"/>
    <x v="49"/>
    <x v="51"/>
    <x v="0"/>
    <x v="0"/>
    <x v="0"/>
    <x v="1266"/>
    <x v="657"/>
    <x v="0"/>
  </r>
  <r>
    <x v="907"/>
    <x v="866"/>
    <x v="38"/>
    <x v="82"/>
    <x v="87"/>
    <x v="0"/>
    <x v="0"/>
    <x v="837"/>
    <x v="1207"/>
    <x v="1244"/>
    <x v="0"/>
  </r>
  <r>
    <x v="908"/>
    <x v="867"/>
    <x v="24"/>
    <x v="49"/>
    <x v="51"/>
    <x v="0"/>
    <x v="0"/>
    <x v="0"/>
    <x v="1208"/>
    <x v="657"/>
    <x v="0"/>
  </r>
  <r>
    <x v="908"/>
    <x v="867"/>
    <x v="38"/>
    <x v="82"/>
    <x v="87"/>
    <x v="0"/>
    <x v="0"/>
    <x v="837"/>
    <x v="1207"/>
    <x v="1244"/>
    <x v="0"/>
  </r>
  <r>
    <x v="909"/>
    <x v="868"/>
    <x v="24"/>
    <x v="49"/>
    <x v="51"/>
    <x v="0"/>
    <x v="0"/>
    <x v="0"/>
    <x v="1208"/>
    <x v="657"/>
    <x v="0"/>
  </r>
  <r>
    <x v="909"/>
    <x v="868"/>
    <x v="38"/>
    <x v="82"/>
    <x v="87"/>
    <x v="0"/>
    <x v="0"/>
    <x v="837"/>
    <x v="1207"/>
    <x v="1244"/>
    <x v="0"/>
  </r>
  <r>
    <x v="910"/>
    <x v="869"/>
    <x v="24"/>
    <x v="49"/>
    <x v="51"/>
    <x v="0"/>
    <x v="0"/>
    <x v="0"/>
    <x v="1208"/>
    <x v="657"/>
    <x v="0"/>
  </r>
  <r>
    <x v="910"/>
    <x v="869"/>
    <x v="38"/>
    <x v="82"/>
    <x v="87"/>
    <x v="0"/>
    <x v="0"/>
    <x v="837"/>
    <x v="1207"/>
    <x v="1244"/>
    <x v="0"/>
  </r>
  <r>
    <x v="911"/>
    <x v="870"/>
    <x v="24"/>
    <x v="49"/>
    <x v="51"/>
    <x v="0"/>
    <x v="236"/>
    <x v="0"/>
    <x v="1296"/>
    <x v="1345"/>
    <x v="0"/>
  </r>
  <r>
    <x v="911"/>
    <x v="870"/>
    <x v="2"/>
    <x v="87"/>
    <x v="93"/>
    <x v="738"/>
    <x v="13"/>
    <x v="452"/>
    <x v="1297"/>
    <x v="657"/>
    <x v="11"/>
  </r>
  <r>
    <x v="911"/>
    <x v="870"/>
    <x v="38"/>
    <x v="82"/>
    <x v="87"/>
    <x v="0"/>
    <x v="0"/>
    <x v="829"/>
    <x v="1190"/>
    <x v="1346"/>
    <x v="0"/>
  </r>
  <r>
    <x v="912"/>
    <x v="871"/>
    <x v="24"/>
    <x v="49"/>
    <x v="51"/>
    <x v="0"/>
    <x v="0"/>
    <x v="0"/>
    <x v="1298"/>
    <x v="657"/>
    <x v="0"/>
  </r>
  <r>
    <x v="912"/>
    <x v="871"/>
    <x v="38"/>
    <x v="82"/>
    <x v="87"/>
    <x v="0"/>
    <x v="0"/>
    <x v="837"/>
    <x v="1207"/>
    <x v="1244"/>
    <x v="0"/>
  </r>
  <r>
    <x v="913"/>
    <x v="872"/>
    <x v="24"/>
    <x v="49"/>
    <x v="51"/>
    <x v="0"/>
    <x v="0"/>
    <x v="0"/>
    <x v="1208"/>
    <x v="657"/>
    <x v="0"/>
  </r>
  <r>
    <x v="913"/>
    <x v="872"/>
    <x v="38"/>
    <x v="82"/>
    <x v="87"/>
    <x v="0"/>
    <x v="0"/>
    <x v="837"/>
    <x v="1207"/>
    <x v="1244"/>
    <x v="0"/>
  </r>
  <r>
    <x v="914"/>
    <x v="873"/>
    <x v="5"/>
    <x v="1"/>
    <x v="1"/>
    <x v="0"/>
    <x v="0"/>
    <x v="0"/>
    <x v="1299"/>
    <x v="1347"/>
    <x v="0"/>
  </r>
  <r>
    <x v="914"/>
    <x v="873"/>
    <x v="24"/>
    <x v="49"/>
    <x v="51"/>
    <x v="0"/>
    <x v="0"/>
    <x v="0"/>
    <x v="1208"/>
    <x v="1348"/>
    <x v="0"/>
  </r>
  <r>
    <x v="914"/>
    <x v="873"/>
    <x v="38"/>
    <x v="82"/>
    <x v="87"/>
    <x v="0"/>
    <x v="0"/>
    <x v="837"/>
    <x v="1207"/>
    <x v="1347"/>
    <x v="0"/>
  </r>
  <r>
    <x v="915"/>
    <x v="874"/>
    <x v="23"/>
    <x v="49"/>
    <x v="51"/>
    <x v="0"/>
    <x v="0"/>
    <x v="0"/>
    <x v="1300"/>
    <x v="1349"/>
    <x v="0"/>
  </r>
  <r>
    <x v="915"/>
    <x v="874"/>
    <x v="3"/>
    <x v="87"/>
    <x v="93"/>
    <x v="739"/>
    <x v="13"/>
    <x v="882"/>
    <x v="1301"/>
    <x v="657"/>
    <x v="0"/>
  </r>
  <r>
    <x v="915"/>
    <x v="874"/>
    <x v="38"/>
    <x v="82"/>
    <x v="87"/>
    <x v="0"/>
    <x v="0"/>
    <x v="867"/>
    <x v="1264"/>
    <x v="1254"/>
    <x v="0"/>
  </r>
  <r>
    <x v="916"/>
    <x v="875"/>
    <x v="24"/>
    <x v="49"/>
    <x v="51"/>
    <x v="0"/>
    <x v="0"/>
    <x v="0"/>
    <x v="1266"/>
    <x v="657"/>
    <x v="0"/>
  </r>
  <r>
    <x v="916"/>
    <x v="97"/>
    <x v="25"/>
    <x v="49"/>
    <x v="91"/>
    <x v="0"/>
    <x v="0"/>
    <x v="883"/>
    <x v="1302"/>
    <x v="1350"/>
    <x v="0"/>
  </r>
  <r>
    <x v="916"/>
    <x v="875"/>
    <x v="38"/>
    <x v="82"/>
    <x v="87"/>
    <x v="0"/>
    <x v="0"/>
    <x v="837"/>
    <x v="1207"/>
    <x v="1351"/>
    <x v="0"/>
  </r>
  <r>
    <x v="917"/>
    <x v="876"/>
    <x v="24"/>
    <x v="49"/>
    <x v="51"/>
    <x v="0"/>
    <x v="237"/>
    <x v="0"/>
    <x v="1303"/>
    <x v="1352"/>
    <x v="0"/>
  </r>
  <r>
    <x v="917"/>
    <x v="876"/>
    <x v="2"/>
    <x v="84"/>
    <x v="89"/>
    <x v="740"/>
    <x v="13"/>
    <x v="357"/>
    <x v="1304"/>
    <x v="657"/>
    <x v="11"/>
  </r>
  <r>
    <x v="917"/>
    <x v="876"/>
    <x v="38"/>
    <x v="82"/>
    <x v="87"/>
    <x v="0"/>
    <x v="0"/>
    <x v="837"/>
    <x v="1207"/>
    <x v="1244"/>
    <x v="0"/>
  </r>
  <r>
    <x v="918"/>
    <x v="877"/>
    <x v="23"/>
    <x v="49"/>
    <x v="51"/>
    <x v="0"/>
    <x v="0"/>
    <x v="0"/>
    <x v="1305"/>
    <x v="1353"/>
    <x v="0"/>
  </r>
  <r>
    <x v="918"/>
    <x v="877"/>
    <x v="3"/>
    <x v="84"/>
    <x v="89"/>
    <x v="741"/>
    <x v="13"/>
    <x v="884"/>
    <x v="1306"/>
    <x v="657"/>
    <x v="0"/>
  </r>
  <r>
    <x v="918"/>
    <x v="877"/>
    <x v="38"/>
    <x v="82"/>
    <x v="87"/>
    <x v="0"/>
    <x v="0"/>
    <x v="837"/>
    <x v="1207"/>
    <x v="1244"/>
    <x v="0"/>
  </r>
  <r>
    <x v="919"/>
    <x v="878"/>
    <x v="24"/>
    <x v="49"/>
    <x v="51"/>
    <x v="0"/>
    <x v="0"/>
    <x v="0"/>
    <x v="1208"/>
    <x v="657"/>
    <x v="0"/>
  </r>
  <r>
    <x v="919"/>
    <x v="878"/>
    <x v="38"/>
    <x v="82"/>
    <x v="87"/>
    <x v="0"/>
    <x v="0"/>
    <x v="837"/>
    <x v="1207"/>
    <x v="1244"/>
    <x v="0"/>
  </r>
  <r>
    <x v="920"/>
    <x v="879"/>
    <x v="24"/>
    <x v="49"/>
    <x v="51"/>
    <x v="0"/>
    <x v="0"/>
    <x v="0"/>
    <x v="1208"/>
    <x v="657"/>
    <x v="0"/>
  </r>
  <r>
    <x v="920"/>
    <x v="879"/>
    <x v="38"/>
    <x v="82"/>
    <x v="87"/>
    <x v="0"/>
    <x v="0"/>
    <x v="867"/>
    <x v="1264"/>
    <x v="1254"/>
    <x v="0"/>
  </r>
  <r>
    <x v="921"/>
    <x v="880"/>
    <x v="24"/>
    <x v="49"/>
    <x v="51"/>
    <x v="0"/>
    <x v="0"/>
    <x v="0"/>
    <x v="1266"/>
    <x v="657"/>
    <x v="0"/>
  </r>
  <r>
    <x v="921"/>
    <x v="880"/>
    <x v="41"/>
    <x v="81"/>
    <x v="88"/>
    <x v="742"/>
    <x v="230"/>
    <x v="885"/>
    <x v="1307"/>
    <x v="1354"/>
    <x v="150"/>
  </r>
  <r>
    <x v="921"/>
    <x v="880"/>
    <x v="38"/>
    <x v="82"/>
    <x v="87"/>
    <x v="0"/>
    <x v="0"/>
    <x v="837"/>
    <x v="1207"/>
    <x v="1355"/>
    <x v="0"/>
  </r>
  <r>
    <x v="922"/>
    <x v="881"/>
    <x v="23"/>
    <x v="49"/>
    <x v="51"/>
    <x v="0"/>
    <x v="0"/>
    <x v="0"/>
    <x v="1308"/>
    <x v="657"/>
    <x v="0"/>
  </r>
  <r>
    <x v="922"/>
    <x v="881"/>
    <x v="38"/>
    <x v="82"/>
    <x v="87"/>
    <x v="0"/>
    <x v="0"/>
    <x v="837"/>
    <x v="1207"/>
    <x v="1244"/>
    <x v="0"/>
  </r>
  <r>
    <x v="923"/>
    <x v="882"/>
    <x v="24"/>
    <x v="49"/>
    <x v="51"/>
    <x v="0"/>
    <x v="0"/>
    <x v="0"/>
    <x v="1208"/>
    <x v="657"/>
    <x v="0"/>
  </r>
  <r>
    <x v="924"/>
    <x v="883"/>
    <x v="38"/>
    <x v="82"/>
    <x v="87"/>
    <x v="0"/>
    <x v="0"/>
    <x v="886"/>
    <x v="219"/>
    <x v="1342"/>
    <x v="0"/>
  </r>
  <r>
    <x v="925"/>
    <x v="884"/>
    <x v="24"/>
    <x v="49"/>
    <x v="51"/>
    <x v="0"/>
    <x v="0"/>
    <x v="0"/>
    <x v="1291"/>
    <x v="657"/>
    <x v="0"/>
  </r>
  <r>
    <x v="925"/>
    <x v="884"/>
    <x v="38"/>
    <x v="82"/>
    <x v="87"/>
    <x v="0"/>
    <x v="0"/>
    <x v="887"/>
    <x v="1264"/>
    <x v="1254"/>
    <x v="0"/>
  </r>
  <r>
    <x v="926"/>
    <x v="885"/>
    <x v="24"/>
    <x v="49"/>
    <x v="51"/>
    <x v="0"/>
    <x v="238"/>
    <x v="0"/>
    <x v="1309"/>
    <x v="1356"/>
    <x v="0"/>
  </r>
  <r>
    <x v="926"/>
    <x v="885"/>
    <x v="2"/>
    <x v="26"/>
    <x v="27"/>
    <x v="743"/>
    <x v="239"/>
    <x v="888"/>
    <x v="1310"/>
    <x v="657"/>
    <x v="153"/>
  </r>
  <r>
    <x v="926"/>
    <x v="885"/>
    <x v="38"/>
    <x v="82"/>
    <x v="87"/>
    <x v="0"/>
    <x v="0"/>
    <x v="889"/>
    <x v="1207"/>
    <x v="1244"/>
    <x v="0"/>
  </r>
  <r>
    <x v="927"/>
    <x v="886"/>
    <x v="23"/>
    <x v="49"/>
    <x v="51"/>
    <x v="0"/>
    <x v="0"/>
    <x v="0"/>
    <x v="1311"/>
    <x v="1357"/>
    <x v="0"/>
  </r>
  <r>
    <x v="927"/>
    <x v="886"/>
    <x v="3"/>
    <x v="26"/>
    <x v="27"/>
    <x v="744"/>
    <x v="26"/>
    <x v="890"/>
    <x v="1312"/>
    <x v="1358"/>
    <x v="32"/>
  </r>
  <r>
    <x v="927"/>
    <x v="886"/>
    <x v="3"/>
    <x v="26"/>
    <x v="27"/>
    <x v="745"/>
    <x v="26"/>
    <x v="891"/>
    <x v="1313"/>
    <x v="1359"/>
    <x v="154"/>
  </r>
  <r>
    <x v="927"/>
    <x v="886"/>
    <x v="38"/>
    <x v="82"/>
    <x v="87"/>
    <x v="0"/>
    <x v="0"/>
    <x v="889"/>
    <x v="1207"/>
    <x v="1360"/>
    <x v="0"/>
  </r>
  <r>
    <x v="928"/>
    <x v="887"/>
    <x v="24"/>
    <x v="49"/>
    <x v="51"/>
    <x v="0"/>
    <x v="240"/>
    <x v="0"/>
    <x v="1314"/>
    <x v="1361"/>
    <x v="0"/>
  </r>
  <r>
    <x v="928"/>
    <x v="887"/>
    <x v="2"/>
    <x v="26"/>
    <x v="27"/>
    <x v="744"/>
    <x v="26"/>
    <x v="890"/>
    <x v="1315"/>
    <x v="1362"/>
    <x v="32"/>
  </r>
  <r>
    <x v="928"/>
    <x v="887"/>
    <x v="2"/>
    <x v="26"/>
    <x v="27"/>
    <x v="746"/>
    <x v="26"/>
    <x v="892"/>
    <x v="1316"/>
    <x v="657"/>
    <x v="153"/>
  </r>
  <r>
    <x v="928"/>
    <x v="887"/>
    <x v="38"/>
    <x v="82"/>
    <x v="87"/>
    <x v="0"/>
    <x v="0"/>
    <x v="889"/>
    <x v="1207"/>
    <x v="1244"/>
    <x v="0"/>
  </r>
  <r>
    <x v="929"/>
    <x v="888"/>
    <x v="23"/>
    <x v="49"/>
    <x v="51"/>
    <x v="0"/>
    <x v="0"/>
    <x v="0"/>
    <x v="1317"/>
    <x v="1363"/>
    <x v="0"/>
  </r>
  <r>
    <x v="929"/>
    <x v="888"/>
    <x v="3"/>
    <x v="26"/>
    <x v="27"/>
    <x v="747"/>
    <x v="239"/>
    <x v="893"/>
    <x v="1318"/>
    <x v="657"/>
    <x v="0"/>
  </r>
  <r>
    <x v="929"/>
    <x v="888"/>
    <x v="38"/>
    <x v="82"/>
    <x v="87"/>
    <x v="0"/>
    <x v="0"/>
    <x v="894"/>
    <x v="1232"/>
    <x v="1189"/>
    <x v="0"/>
  </r>
  <r>
    <x v="930"/>
    <x v="889"/>
    <x v="24"/>
    <x v="49"/>
    <x v="51"/>
    <x v="0"/>
    <x v="0"/>
    <x v="0"/>
    <x v="1233"/>
    <x v="657"/>
    <x v="0"/>
  </r>
  <r>
    <x v="930"/>
    <x v="889"/>
    <x v="38"/>
    <x v="82"/>
    <x v="87"/>
    <x v="0"/>
    <x v="0"/>
    <x v="895"/>
    <x v="1249"/>
    <x v="1236"/>
    <x v="0"/>
  </r>
  <r>
    <x v="931"/>
    <x v="890"/>
    <x v="24"/>
    <x v="49"/>
    <x v="51"/>
    <x v="0"/>
    <x v="241"/>
    <x v="0"/>
    <x v="1319"/>
    <x v="1364"/>
    <x v="0"/>
  </r>
  <r>
    <x v="931"/>
    <x v="890"/>
    <x v="2"/>
    <x v="88"/>
    <x v="94"/>
    <x v="748"/>
    <x v="65"/>
    <x v="415"/>
    <x v="490"/>
    <x v="657"/>
    <x v="20"/>
  </r>
  <r>
    <x v="931"/>
    <x v="890"/>
    <x v="38"/>
    <x v="82"/>
    <x v="87"/>
    <x v="0"/>
    <x v="0"/>
    <x v="894"/>
    <x v="1232"/>
    <x v="1189"/>
    <x v="0"/>
  </r>
  <r>
    <x v="932"/>
    <x v="891"/>
    <x v="24"/>
    <x v="49"/>
    <x v="51"/>
    <x v="0"/>
    <x v="0"/>
    <x v="0"/>
    <x v="1233"/>
    <x v="657"/>
    <x v="0"/>
  </r>
  <r>
    <x v="932"/>
    <x v="891"/>
    <x v="6"/>
    <x v="88"/>
    <x v="94"/>
    <x v="0"/>
    <x v="0"/>
    <x v="896"/>
    <x v="1320"/>
    <x v="712"/>
    <x v="0"/>
  </r>
  <r>
    <x v="932"/>
    <x v="891"/>
    <x v="38"/>
    <x v="82"/>
    <x v="87"/>
    <x v="0"/>
    <x v="0"/>
    <x v="889"/>
    <x v="1207"/>
    <x v="1365"/>
    <x v="0"/>
  </r>
  <r>
    <x v="933"/>
    <x v="892"/>
    <x v="38"/>
    <x v="82"/>
    <x v="87"/>
    <x v="0"/>
    <x v="0"/>
    <x v="889"/>
    <x v="1207"/>
    <x v="1366"/>
    <x v="0"/>
  </r>
  <r>
    <x v="934"/>
    <x v="893"/>
    <x v="38"/>
    <x v="82"/>
    <x v="87"/>
    <x v="0"/>
    <x v="0"/>
    <x v="889"/>
    <x v="1207"/>
    <x v="1367"/>
    <x v="0"/>
  </r>
  <r>
    <x v="935"/>
    <x v="894"/>
    <x v="38"/>
    <x v="82"/>
    <x v="87"/>
    <x v="0"/>
    <x v="0"/>
    <x v="887"/>
    <x v="1264"/>
    <x v="1368"/>
    <x v="0"/>
  </r>
  <r>
    <x v="936"/>
    <x v="895"/>
    <x v="24"/>
    <x v="49"/>
    <x v="51"/>
    <x v="0"/>
    <x v="242"/>
    <x v="0"/>
    <x v="1321"/>
    <x v="1369"/>
    <x v="0"/>
  </r>
  <r>
    <x v="936"/>
    <x v="895"/>
    <x v="38"/>
    <x v="82"/>
    <x v="87"/>
    <x v="0"/>
    <x v="0"/>
    <x v="894"/>
    <x v="1232"/>
    <x v="1370"/>
    <x v="0"/>
  </r>
  <r>
    <x v="937"/>
    <x v="896"/>
    <x v="24"/>
    <x v="49"/>
    <x v="51"/>
    <x v="0"/>
    <x v="0"/>
    <x v="0"/>
    <x v="1233"/>
    <x v="1369"/>
    <x v="0"/>
  </r>
  <r>
    <x v="937"/>
    <x v="896"/>
    <x v="38"/>
    <x v="82"/>
    <x v="87"/>
    <x v="0"/>
    <x v="0"/>
    <x v="894"/>
    <x v="1232"/>
    <x v="1370"/>
    <x v="0"/>
  </r>
  <r>
    <x v="938"/>
    <x v="897"/>
    <x v="24"/>
    <x v="49"/>
    <x v="51"/>
    <x v="0"/>
    <x v="0"/>
    <x v="0"/>
    <x v="1233"/>
    <x v="1369"/>
    <x v="0"/>
  </r>
  <r>
    <x v="938"/>
    <x v="897"/>
    <x v="38"/>
    <x v="82"/>
    <x v="87"/>
    <x v="0"/>
    <x v="0"/>
    <x v="894"/>
    <x v="1232"/>
    <x v="1370"/>
    <x v="0"/>
  </r>
  <r>
    <x v="939"/>
    <x v="898"/>
    <x v="24"/>
    <x v="49"/>
    <x v="51"/>
    <x v="0"/>
    <x v="243"/>
    <x v="0"/>
    <x v="1322"/>
    <x v="1371"/>
    <x v="0"/>
  </r>
  <r>
    <x v="939"/>
    <x v="898"/>
    <x v="38"/>
    <x v="82"/>
    <x v="87"/>
    <x v="0"/>
    <x v="0"/>
    <x v="894"/>
    <x v="1232"/>
    <x v="1372"/>
    <x v="0"/>
  </r>
  <r>
    <x v="940"/>
    <x v="899"/>
    <x v="23"/>
    <x v="49"/>
    <x v="51"/>
    <x v="0"/>
    <x v="0"/>
    <x v="0"/>
    <x v="1323"/>
    <x v="1373"/>
    <x v="0"/>
  </r>
  <r>
    <x v="940"/>
    <x v="899"/>
    <x v="2"/>
    <x v="80"/>
    <x v="83"/>
    <x v="622"/>
    <x v="65"/>
    <x v="897"/>
    <x v="1324"/>
    <x v="1374"/>
    <x v="20"/>
  </r>
  <r>
    <x v="940"/>
    <x v="899"/>
    <x v="38"/>
    <x v="82"/>
    <x v="87"/>
    <x v="0"/>
    <x v="0"/>
    <x v="895"/>
    <x v="1249"/>
    <x v="1375"/>
    <x v="0"/>
  </r>
  <r>
    <x v="941"/>
    <x v="900"/>
    <x v="3"/>
    <x v="80"/>
    <x v="83"/>
    <x v="749"/>
    <x v="65"/>
    <x v="898"/>
    <x v="1325"/>
    <x v="1376"/>
    <x v="0"/>
  </r>
  <r>
    <x v="941"/>
    <x v="900"/>
    <x v="2"/>
    <x v="80"/>
    <x v="83"/>
    <x v="622"/>
    <x v="65"/>
    <x v="897"/>
    <x v="1324"/>
    <x v="1377"/>
    <x v="20"/>
  </r>
  <r>
    <x v="941"/>
    <x v="900"/>
    <x v="38"/>
    <x v="82"/>
    <x v="87"/>
    <x v="0"/>
    <x v="0"/>
    <x v="894"/>
    <x v="1232"/>
    <x v="1378"/>
    <x v="0"/>
  </r>
  <r>
    <x v="942"/>
    <x v="901"/>
    <x v="24"/>
    <x v="49"/>
    <x v="51"/>
    <x v="0"/>
    <x v="244"/>
    <x v="0"/>
    <x v="1326"/>
    <x v="1379"/>
    <x v="0"/>
  </r>
  <r>
    <x v="942"/>
    <x v="901"/>
    <x v="2"/>
    <x v="80"/>
    <x v="83"/>
    <x v="750"/>
    <x v="65"/>
    <x v="590"/>
    <x v="1327"/>
    <x v="1380"/>
    <x v="73"/>
  </r>
  <r>
    <x v="942"/>
    <x v="901"/>
    <x v="38"/>
    <x v="82"/>
    <x v="87"/>
    <x v="0"/>
    <x v="0"/>
    <x v="894"/>
    <x v="1232"/>
    <x v="1381"/>
    <x v="0"/>
  </r>
  <r>
    <x v="943"/>
    <x v="902"/>
    <x v="24"/>
    <x v="49"/>
    <x v="51"/>
    <x v="0"/>
    <x v="0"/>
    <x v="0"/>
    <x v="1233"/>
    <x v="1380"/>
    <x v="0"/>
  </r>
  <r>
    <x v="943"/>
    <x v="902"/>
    <x v="38"/>
    <x v="82"/>
    <x v="87"/>
    <x v="0"/>
    <x v="0"/>
    <x v="894"/>
    <x v="1232"/>
    <x v="1381"/>
    <x v="0"/>
  </r>
  <r>
    <x v="944"/>
    <x v="903"/>
    <x v="1"/>
    <x v="1"/>
    <x v="1"/>
    <x v="0"/>
    <x v="0"/>
    <x v="0"/>
    <x v="1328"/>
    <x v="1382"/>
    <x v="0"/>
  </r>
  <r>
    <x v="944"/>
    <x v="903"/>
    <x v="24"/>
    <x v="49"/>
    <x v="51"/>
    <x v="0"/>
    <x v="245"/>
    <x v="0"/>
    <x v="1329"/>
    <x v="1383"/>
    <x v="0"/>
  </r>
  <r>
    <x v="944"/>
    <x v="903"/>
    <x v="2"/>
    <x v="80"/>
    <x v="83"/>
    <x v="750"/>
    <x v="30"/>
    <x v="899"/>
    <x v="1330"/>
    <x v="1380"/>
    <x v="65"/>
  </r>
  <r>
    <x v="944"/>
    <x v="903"/>
    <x v="38"/>
    <x v="82"/>
    <x v="87"/>
    <x v="0"/>
    <x v="0"/>
    <x v="894"/>
    <x v="1232"/>
    <x v="1381"/>
    <x v="0"/>
  </r>
  <r>
    <x v="945"/>
    <x v="904"/>
    <x v="23"/>
    <x v="49"/>
    <x v="51"/>
    <x v="0"/>
    <x v="0"/>
    <x v="0"/>
    <x v="1331"/>
    <x v="657"/>
    <x v="0"/>
  </r>
  <r>
    <x v="945"/>
    <x v="904"/>
    <x v="38"/>
    <x v="82"/>
    <x v="87"/>
    <x v="0"/>
    <x v="0"/>
    <x v="900"/>
    <x v="1332"/>
    <x v="1384"/>
    <x v="0"/>
  </r>
  <r>
    <x v="946"/>
    <x v="905"/>
    <x v="24"/>
    <x v="49"/>
    <x v="51"/>
    <x v="0"/>
    <x v="0"/>
    <x v="0"/>
    <x v="1333"/>
    <x v="657"/>
    <x v="0"/>
  </r>
  <r>
    <x v="946"/>
    <x v="905"/>
    <x v="38"/>
    <x v="82"/>
    <x v="87"/>
    <x v="0"/>
    <x v="0"/>
    <x v="894"/>
    <x v="1232"/>
    <x v="1189"/>
    <x v="0"/>
  </r>
  <r>
    <x v="947"/>
    <x v="906"/>
    <x v="24"/>
    <x v="49"/>
    <x v="51"/>
    <x v="0"/>
    <x v="0"/>
    <x v="0"/>
    <x v="1233"/>
    <x v="657"/>
    <x v="0"/>
  </r>
  <r>
    <x v="947"/>
    <x v="906"/>
    <x v="38"/>
    <x v="82"/>
    <x v="87"/>
    <x v="0"/>
    <x v="0"/>
    <x v="894"/>
    <x v="1232"/>
    <x v="1189"/>
    <x v="0"/>
  </r>
  <r>
    <x v="948"/>
    <x v="907"/>
    <x v="3"/>
    <x v="80"/>
    <x v="83"/>
    <x v="622"/>
    <x v="65"/>
    <x v="897"/>
    <x v="1334"/>
    <x v="1385"/>
    <x v="74"/>
  </r>
  <r>
    <x v="948"/>
    <x v="907"/>
    <x v="2"/>
    <x v="80"/>
    <x v="83"/>
    <x v="750"/>
    <x v="65"/>
    <x v="590"/>
    <x v="1327"/>
    <x v="1386"/>
    <x v="65"/>
  </r>
  <r>
    <x v="948"/>
    <x v="907"/>
    <x v="38"/>
    <x v="82"/>
    <x v="87"/>
    <x v="0"/>
    <x v="0"/>
    <x v="894"/>
    <x v="1232"/>
    <x v="1387"/>
    <x v="0"/>
  </r>
  <r>
    <x v="949"/>
    <x v="908"/>
    <x v="23"/>
    <x v="49"/>
    <x v="51"/>
    <x v="0"/>
    <x v="0"/>
    <x v="0"/>
    <x v="1335"/>
    <x v="1388"/>
    <x v="0"/>
  </r>
  <r>
    <x v="949"/>
    <x v="908"/>
    <x v="3"/>
    <x v="88"/>
    <x v="94"/>
    <x v="751"/>
    <x v="65"/>
    <x v="901"/>
    <x v="1336"/>
    <x v="657"/>
    <x v="0"/>
  </r>
  <r>
    <x v="949"/>
    <x v="908"/>
    <x v="38"/>
    <x v="82"/>
    <x v="87"/>
    <x v="0"/>
    <x v="0"/>
    <x v="894"/>
    <x v="1232"/>
    <x v="1189"/>
    <x v="0"/>
  </r>
  <r>
    <x v="950"/>
    <x v="909"/>
    <x v="24"/>
    <x v="49"/>
    <x v="51"/>
    <x v="0"/>
    <x v="246"/>
    <x v="0"/>
    <x v="1337"/>
    <x v="1389"/>
    <x v="0"/>
  </r>
  <r>
    <x v="950"/>
    <x v="909"/>
    <x v="38"/>
    <x v="82"/>
    <x v="87"/>
    <x v="0"/>
    <x v="0"/>
    <x v="900"/>
    <x v="1332"/>
    <x v="1390"/>
    <x v="0"/>
  </r>
  <r>
    <x v="951"/>
    <x v="97"/>
    <x v="9"/>
    <x v="88"/>
    <x v="94"/>
    <x v="0"/>
    <x v="0"/>
    <x v="0"/>
    <x v="1338"/>
    <x v="1391"/>
    <x v="0"/>
  </r>
  <r>
    <x v="951"/>
    <x v="910"/>
    <x v="24"/>
    <x v="49"/>
    <x v="51"/>
    <x v="0"/>
    <x v="15"/>
    <x v="0"/>
    <x v="1339"/>
    <x v="1380"/>
    <x v="0"/>
  </r>
  <r>
    <x v="951"/>
    <x v="910"/>
    <x v="38"/>
    <x v="82"/>
    <x v="87"/>
    <x v="0"/>
    <x v="0"/>
    <x v="894"/>
    <x v="1232"/>
    <x v="1381"/>
    <x v="0"/>
  </r>
  <r>
    <x v="952"/>
    <x v="911"/>
    <x v="23"/>
    <x v="49"/>
    <x v="51"/>
    <x v="0"/>
    <x v="0"/>
    <x v="0"/>
    <x v="1340"/>
    <x v="1392"/>
    <x v="0"/>
  </r>
  <r>
    <x v="952"/>
    <x v="911"/>
    <x v="3"/>
    <x v="80"/>
    <x v="83"/>
    <x v="622"/>
    <x v="65"/>
    <x v="897"/>
    <x v="1334"/>
    <x v="1374"/>
    <x v="74"/>
  </r>
  <r>
    <x v="952"/>
    <x v="911"/>
    <x v="41"/>
    <x v="85"/>
    <x v="90"/>
    <x v="674"/>
    <x v="87"/>
    <x v="902"/>
    <x v="0"/>
    <x v="1393"/>
    <x v="101"/>
  </r>
  <r>
    <x v="952"/>
    <x v="911"/>
    <x v="38"/>
    <x v="82"/>
    <x v="87"/>
    <x v="0"/>
    <x v="0"/>
    <x v="894"/>
    <x v="1232"/>
    <x v="1394"/>
    <x v="0"/>
  </r>
  <r>
    <x v="953"/>
    <x v="912"/>
    <x v="23"/>
    <x v="49"/>
    <x v="51"/>
    <x v="0"/>
    <x v="0"/>
    <x v="0"/>
    <x v="1341"/>
    <x v="1395"/>
    <x v="0"/>
  </r>
  <r>
    <x v="953"/>
    <x v="912"/>
    <x v="3"/>
    <x v="80"/>
    <x v="83"/>
    <x v="749"/>
    <x v="65"/>
    <x v="898"/>
    <x v="1325"/>
    <x v="1369"/>
    <x v="34"/>
  </r>
  <r>
    <x v="953"/>
    <x v="912"/>
    <x v="38"/>
    <x v="82"/>
    <x v="87"/>
    <x v="0"/>
    <x v="0"/>
    <x v="894"/>
    <x v="1232"/>
    <x v="1370"/>
    <x v="0"/>
  </r>
  <r>
    <x v="954"/>
    <x v="913"/>
    <x v="24"/>
    <x v="49"/>
    <x v="51"/>
    <x v="0"/>
    <x v="247"/>
    <x v="0"/>
    <x v="1342"/>
    <x v="1373"/>
    <x v="0"/>
  </r>
  <r>
    <x v="954"/>
    <x v="913"/>
    <x v="2"/>
    <x v="80"/>
    <x v="83"/>
    <x v="622"/>
    <x v="65"/>
    <x v="897"/>
    <x v="1324"/>
    <x v="1374"/>
    <x v="74"/>
  </r>
  <r>
    <x v="954"/>
    <x v="913"/>
    <x v="38"/>
    <x v="82"/>
    <x v="87"/>
    <x v="0"/>
    <x v="0"/>
    <x v="894"/>
    <x v="1232"/>
    <x v="1396"/>
    <x v="0"/>
  </r>
  <r>
    <x v="955"/>
    <x v="914"/>
    <x v="23"/>
    <x v="49"/>
    <x v="51"/>
    <x v="0"/>
    <x v="0"/>
    <x v="0"/>
    <x v="1343"/>
    <x v="1395"/>
    <x v="0"/>
  </r>
  <r>
    <x v="955"/>
    <x v="914"/>
    <x v="3"/>
    <x v="80"/>
    <x v="83"/>
    <x v="749"/>
    <x v="65"/>
    <x v="898"/>
    <x v="1325"/>
    <x v="1369"/>
    <x v="34"/>
  </r>
  <r>
    <x v="955"/>
    <x v="914"/>
    <x v="38"/>
    <x v="82"/>
    <x v="87"/>
    <x v="0"/>
    <x v="0"/>
    <x v="900"/>
    <x v="1332"/>
    <x v="1397"/>
    <x v="0"/>
  </r>
  <r>
    <x v="956"/>
    <x v="915"/>
    <x v="3"/>
    <x v="80"/>
    <x v="83"/>
    <x v="752"/>
    <x v="65"/>
    <x v="903"/>
    <x v="1344"/>
    <x v="1398"/>
    <x v="19"/>
  </r>
  <r>
    <x v="956"/>
    <x v="915"/>
    <x v="2"/>
    <x v="80"/>
    <x v="83"/>
    <x v="749"/>
    <x v="65"/>
    <x v="898"/>
    <x v="1345"/>
    <x v="1399"/>
    <x v="34"/>
  </r>
  <r>
    <x v="956"/>
    <x v="915"/>
    <x v="38"/>
    <x v="82"/>
    <x v="87"/>
    <x v="0"/>
    <x v="0"/>
    <x v="894"/>
    <x v="1232"/>
    <x v="1400"/>
    <x v="0"/>
  </r>
  <r>
    <x v="957"/>
    <x v="916"/>
    <x v="38"/>
    <x v="82"/>
    <x v="87"/>
    <x v="0"/>
    <x v="0"/>
    <x v="894"/>
    <x v="1232"/>
    <x v="1401"/>
    <x v="0"/>
  </r>
  <r>
    <x v="958"/>
    <x v="917"/>
    <x v="24"/>
    <x v="49"/>
    <x v="51"/>
    <x v="0"/>
    <x v="248"/>
    <x v="0"/>
    <x v="1346"/>
    <x v="1402"/>
    <x v="0"/>
  </r>
  <r>
    <x v="958"/>
    <x v="917"/>
    <x v="2"/>
    <x v="80"/>
    <x v="83"/>
    <x v="751"/>
    <x v="65"/>
    <x v="901"/>
    <x v="1347"/>
    <x v="1403"/>
    <x v="74"/>
  </r>
  <r>
    <x v="958"/>
    <x v="917"/>
    <x v="2"/>
    <x v="80"/>
    <x v="83"/>
    <x v="702"/>
    <x v="65"/>
    <x v="738"/>
    <x v="1348"/>
    <x v="1404"/>
    <x v="65"/>
  </r>
  <r>
    <x v="958"/>
    <x v="917"/>
    <x v="38"/>
    <x v="82"/>
    <x v="87"/>
    <x v="0"/>
    <x v="0"/>
    <x v="894"/>
    <x v="1232"/>
    <x v="1405"/>
    <x v="0"/>
  </r>
  <r>
    <x v="959"/>
    <x v="918"/>
    <x v="24"/>
    <x v="49"/>
    <x v="51"/>
    <x v="0"/>
    <x v="0"/>
    <x v="0"/>
    <x v="1233"/>
    <x v="1404"/>
    <x v="0"/>
  </r>
  <r>
    <x v="959"/>
    <x v="918"/>
    <x v="38"/>
    <x v="82"/>
    <x v="87"/>
    <x v="0"/>
    <x v="0"/>
    <x v="894"/>
    <x v="1232"/>
    <x v="1405"/>
    <x v="0"/>
  </r>
  <r>
    <x v="960"/>
    <x v="919"/>
    <x v="24"/>
    <x v="49"/>
    <x v="51"/>
    <x v="0"/>
    <x v="0"/>
    <x v="0"/>
    <x v="1233"/>
    <x v="1404"/>
    <x v="0"/>
  </r>
  <r>
    <x v="960"/>
    <x v="919"/>
    <x v="38"/>
    <x v="82"/>
    <x v="87"/>
    <x v="0"/>
    <x v="0"/>
    <x v="895"/>
    <x v="1249"/>
    <x v="1406"/>
    <x v="0"/>
  </r>
  <r>
    <x v="961"/>
    <x v="920"/>
    <x v="23"/>
    <x v="49"/>
    <x v="51"/>
    <x v="0"/>
    <x v="0"/>
    <x v="0"/>
    <x v="1349"/>
    <x v="1407"/>
    <x v="0"/>
  </r>
  <r>
    <x v="961"/>
    <x v="920"/>
    <x v="3"/>
    <x v="80"/>
    <x v="83"/>
    <x v="622"/>
    <x v="65"/>
    <x v="897"/>
    <x v="1334"/>
    <x v="1408"/>
    <x v="74"/>
  </r>
  <r>
    <x v="961"/>
    <x v="920"/>
    <x v="38"/>
    <x v="82"/>
    <x v="87"/>
    <x v="0"/>
    <x v="0"/>
    <x v="894"/>
    <x v="1232"/>
    <x v="1409"/>
    <x v="0"/>
  </r>
  <r>
    <x v="962"/>
    <x v="921"/>
    <x v="24"/>
    <x v="49"/>
    <x v="51"/>
    <x v="0"/>
    <x v="0"/>
    <x v="0"/>
    <x v="1233"/>
    <x v="1408"/>
    <x v="0"/>
  </r>
  <r>
    <x v="962"/>
    <x v="921"/>
    <x v="38"/>
    <x v="82"/>
    <x v="87"/>
    <x v="0"/>
    <x v="0"/>
    <x v="894"/>
    <x v="1232"/>
    <x v="1409"/>
    <x v="0"/>
  </r>
  <r>
    <x v="963"/>
    <x v="922"/>
    <x v="23"/>
    <x v="49"/>
    <x v="51"/>
    <x v="0"/>
    <x v="0"/>
    <x v="0"/>
    <x v="1350"/>
    <x v="1410"/>
    <x v="0"/>
  </r>
  <r>
    <x v="963"/>
    <x v="922"/>
    <x v="6"/>
    <x v="51"/>
    <x v="53"/>
    <x v="0"/>
    <x v="0"/>
    <x v="904"/>
    <x v="1351"/>
    <x v="1411"/>
    <x v="0"/>
  </r>
  <r>
    <x v="963"/>
    <x v="922"/>
    <x v="3"/>
    <x v="80"/>
    <x v="83"/>
    <x v="749"/>
    <x v="65"/>
    <x v="898"/>
    <x v="1325"/>
    <x v="1412"/>
    <x v="34"/>
  </r>
  <r>
    <x v="963"/>
    <x v="922"/>
    <x v="38"/>
    <x v="82"/>
    <x v="87"/>
    <x v="0"/>
    <x v="0"/>
    <x v="894"/>
    <x v="1232"/>
    <x v="1413"/>
    <x v="0"/>
  </r>
  <r>
    <x v="964"/>
    <x v="923"/>
    <x v="23"/>
    <x v="49"/>
    <x v="51"/>
    <x v="0"/>
    <x v="0"/>
    <x v="0"/>
    <x v="1352"/>
    <x v="1414"/>
    <x v="0"/>
  </r>
  <r>
    <x v="964"/>
    <x v="923"/>
    <x v="3"/>
    <x v="80"/>
    <x v="83"/>
    <x v="488"/>
    <x v="65"/>
    <x v="585"/>
    <x v="759"/>
    <x v="1415"/>
    <x v="19"/>
  </r>
  <r>
    <x v="964"/>
    <x v="923"/>
    <x v="38"/>
    <x v="82"/>
    <x v="87"/>
    <x v="0"/>
    <x v="0"/>
    <x v="894"/>
    <x v="1232"/>
    <x v="1416"/>
    <x v="0"/>
  </r>
  <r>
    <x v="965"/>
    <x v="924"/>
    <x v="24"/>
    <x v="49"/>
    <x v="51"/>
    <x v="0"/>
    <x v="249"/>
    <x v="0"/>
    <x v="1353"/>
    <x v="1417"/>
    <x v="0"/>
  </r>
  <r>
    <x v="965"/>
    <x v="924"/>
    <x v="3"/>
    <x v="80"/>
    <x v="83"/>
    <x v="753"/>
    <x v="26"/>
    <x v="905"/>
    <x v="1354"/>
    <x v="1418"/>
    <x v="0"/>
  </r>
  <r>
    <x v="965"/>
    <x v="924"/>
    <x v="38"/>
    <x v="82"/>
    <x v="87"/>
    <x v="0"/>
    <x v="0"/>
    <x v="900"/>
    <x v="1332"/>
    <x v="1419"/>
    <x v="0"/>
  </r>
  <r>
    <x v="966"/>
    <x v="925"/>
    <x v="38"/>
    <x v="82"/>
    <x v="87"/>
    <x v="0"/>
    <x v="0"/>
    <x v="894"/>
    <x v="1232"/>
    <x v="1420"/>
    <x v="0"/>
  </r>
  <r>
    <x v="967"/>
    <x v="926"/>
    <x v="24"/>
    <x v="49"/>
    <x v="51"/>
    <x v="0"/>
    <x v="250"/>
    <x v="0"/>
    <x v="1355"/>
    <x v="1421"/>
    <x v="0"/>
  </r>
  <r>
    <x v="967"/>
    <x v="926"/>
    <x v="2"/>
    <x v="51"/>
    <x v="53"/>
    <x v="754"/>
    <x v="65"/>
    <x v="906"/>
    <x v="1356"/>
    <x v="1422"/>
    <x v="95"/>
  </r>
  <r>
    <x v="967"/>
    <x v="924"/>
    <x v="39"/>
    <x v="85"/>
    <x v="90"/>
    <x v="755"/>
    <x v="8"/>
    <x v="907"/>
    <x v="1357"/>
    <x v="1415"/>
    <x v="19"/>
  </r>
  <r>
    <x v="967"/>
    <x v="926"/>
    <x v="38"/>
    <x v="82"/>
    <x v="87"/>
    <x v="0"/>
    <x v="0"/>
    <x v="894"/>
    <x v="1232"/>
    <x v="1416"/>
    <x v="0"/>
  </r>
  <r>
    <x v="968"/>
    <x v="927"/>
    <x v="23"/>
    <x v="49"/>
    <x v="51"/>
    <x v="0"/>
    <x v="0"/>
    <x v="0"/>
    <x v="1358"/>
    <x v="1423"/>
    <x v="0"/>
  </r>
  <r>
    <x v="968"/>
    <x v="925"/>
    <x v="40"/>
    <x v="85"/>
    <x v="90"/>
    <x v="612"/>
    <x v="8"/>
    <x v="908"/>
    <x v="1359"/>
    <x v="1415"/>
    <x v="101"/>
  </r>
  <r>
    <x v="968"/>
    <x v="927"/>
    <x v="38"/>
    <x v="82"/>
    <x v="87"/>
    <x v="0"/>
    <x v="0"/>
    <x v="889"/>
    <x v="1207"/>
    <x v="1424"/>
    <x v="0"/>
  </r>
  <r>
    <x v="969"/>
    <x v="928"/>
    <x v="24"/>
    <x v="49"/>
    <x v="51"/>
    <x v="0"/>
    <x v="0"/>
    <x v="0"/>
    <x v="1208"/>
    <x v="1415"/>
    <x v="0"/>
  </r>
  <r>
    <x v="969"/>
    <x v="928"/>
    <x v="38"/>
    <x v="82"/>
    <x v="87"/>
    <x v="0"/>
    <x v="0"/>
    <x v="889"/>
    <x v="1207"/>
    <x v="1424"/>
    <x v="0"/>
  </r>
  <r>
    <x v="970"/>
    <x v="929"/>
    <x v="24"/>
    <x v="49"/>
    <x v="51"/>
    <x v="0"/>
    <x v="0"/>
    <x v="0"/>
    <x v="1208"/>
    <x v="1415"/>
    <x v="0"/>
  </r>
  <r>
    <x v="970"/>
    <x v="929"/>
    <x v="38"/>
    <x v="82"/>
    <x v="87"/>
    <x v="0"/>
    <x v="0"/>
    <x v="887"/>
    <x v="1264"/>
    <x v="1425"/>
    <x v="0"/>
  </r>
  <r>
    <x v="971"/>
    <x v="930"/>
    <x v="23"/>
    <x v="49"/>
    <x v="51"/>
    <x v="0"/>
    <x v="0"/>
    <x v="0"/>
    <x v="1360"/>
    <x v="1426"/>
    <x v="0"/>
  </r>
  <r>
    <x v="971"/>
    <x v="930"/>
    <x v="3"/>
    <x v="51"/>
    <x v="53"/>
    <x v="756"/>
    <x v="65"/>
    <x v="909"/>
    <x v="1361"/>
    <x v="1415"/>
    <x v="148"/>
  </r>
  <r>
    <x v="971"/>
    <x v="930"/>
    <x v="38"/>
    <x v="82"/>
    <x v="87"/>
    <x v="0"/>
    <x v="0"/>
    <x v="889"/>
    <x v="1207"/>
    <x v="1424"/>
    <x v="0"/>
  </r>
  <r>
    <x v="972"/>
    <x v="931"/>
    <x v="23"/>
    <x v="49"/>
    <x v="51"/>
    <x v="0"/>
    <x v="0"/>
    <x v="0"/>
    <x v="1362"/>
    <x v="657"/>
    <x v="0"/>
  </r>
  <r>
    <x v="972"/>
    <x v="931"/>
    <x v="38"/>
    <x v="82"/>
    <x v="87"/>
    <x v="0"/>
    <x v="0"/>
    <x v="889"/>
    <x v="1207"/>
    <x v="1244"/>
    <x v="0"/>
  </r>
  <r>
    <x v="973"/>
    <x v="932"/>
    <x v="24"/>
    <x v="49"/>
    <x v="51"/>
    <x v="0"/>
    <x v="0"/>
    <x v="0"/>
    <x v="1208"/>
    <x v="657"/>
    <x v="0"/>
  </r>
  <r>
    <x v="973"/>
    <x v="932"/>
    <x v="38"/>
    <x v="82"/>
    <x v="87"/>
    <x v="0"/>
    <x v="0"/>
    <x v="889"/>
    <x v="1207"/>
    <x v="1244"/>
    <x v="0"/>
  </r>
  <r>
    <x v="974"/>
    <x v="933"/>
    <x v="24"/>
    <x v="49"/>
    <x v="51"/>
    <x v="0"/>
    <x v="0"/>
    <x v="0"/>
    <x v="1208"/>
    <x v="657"/>
    <x v="0"/>
  </r>
  <r>
    <x v="974"/>
    <x v="933"/>
    <x v="38"/>
    <x v="82"/>
    <x v="87"/>
    <x v="0"/>
    <x v="0"/>
    <x v="889"/>
    <x v="1207"/>
    <x v="1244"/>
    <x v="0"/>
  </r>
  <r>
    <x v="975"/>
    <x v="934"/>
    <x v="24"/>
    <x v="49"/>
    <x v="51"/>
    <x v="0"/>
    <x v="251"/>
    <x v="0"/>
    <x v="1363"/>
    <x v="1427"/>
    <x v="0"/>
  </r>
  <r>
    <x v="975"/>
    <x v="934"/>
    <x v="2"/>
    <x v="89"/>
    <x v="95"/>
    <x v="757"/>
    <x v="67"/>
    <x v="910"/>
    <x v="1364"/>
    <x v="1428"/>
    <x v="75"/>
  </r>
  <r>
    <x v="975"/>
    <x v="934"/>
    <x v="38"/>
    <x v="82"/>
    <x v="87"/>
    <x v="0"/>
    <x v="0"/>
    <x v="887"/>
    <x v="1264"/>
    <x v="1429"/>
    <x v="0"/>
  </r>
  <r>
    <x v="976"/>
    <x v="935"/>
    <x v="23"/>
    <x v="49"/>
    <x v="51"/>
    <x v="0"/>
    <x v="0"/>
    <x v="0"/>
    <x v="1365"/>
    <x v="1430"/>
    <x v="0"/>
  </r>
  <r>
    <x v="976"/>
    <x v="935"/>
    <x v="3"/>
    <x v="89"/>
    <x v="95"/>
    <x v="758"/>
    <x v="31"/>
    <x v="911"/>
    <x v="1366"/>
    <x v="1431"/>
    <x v="35"/>
  </r>
  <r>
    <x v="976"/>
    <x v="935"/>
    <x v="38"/>
    <x v="82"/>
    <x v="87"/>
    <x v="0"/>
    <x v="0"/>
    <x v="889"/>
    <x v="1207"/>
    <x v="1432"/>
    <x v="0"/>
  </r>
  <r>
    <x v="977"/>
    <x v="936"/>
    <x v="24"/>
    <x v="49"/>
    <x v="51"/>
    <x v="0"/>
    <x v="252"/>
    <x v="0"/>
    <x v="1367"/>
    <x v="1433"/>
    <x v="0"/>
  </r>
  <r>
    <x v="977"/>
    <x v="936"/>
    <x v="2"/>
    <x v="89"/>
    <x v="95"/>
    <x v="757"/>
    <x v="31"/>
    <x v="912"/>
    <x v="1368"/>
    <x v="1428"/>
    <x v="75"/>
  </r>
  <r>
    <x v="977"/>
    <x v="936"/>
    <x v="38"/>
    <x v="82"/>
    <x v="87"/>
    <x v="0"/>
    <x v="0"/>
    <x v="889"/>
    <x v="1207"/>
    <x v="1434"/>
    <x v="0"/>
  </r>
  <r>
    <x v="978"/>
    <x v="937"/>
    <x v="24"/>
    <x v="49"/>
    <x v="51"/>
    <x v="0"/>
    <x v="253"/>
    <x v="0"/>
    <x v="1369"/>
    <x v="1435"/>
    <x v="0"/>
  </r>
  <r>
    <x v="978"/>
    <x v="937"/>
    <x v="2"/>
    <x v="89"/>
    <x v="95"/>
    <x v="759"/>
    <x v="31"/>
    <x v="913"/>
    <x v="1370"/>
    <x v="1436"/>
    <x v="71"/>
  </r>
  <r>
    <x v="978"/>
    <x v="937"/>
    <x v="38"/>
    <x v="82"/>
    <x v="87"/>
    <x v="0"/>
    <x v="0"/>
    <x v="889"/>
    <x v="1207"/>
    <x v="1437"/>
    <x v="0"/>
  </r>
  <r>
    <x v="979"/>
    <x v="938"/>
    <x v="5"/>
    <x v="1"/>
    <x v="1"/>
    <x v="0"/>
    <x v="0"/>
    <x v="0"/>
    <x v="1371"/>
    <x v="1438"/>
    <x v="0"/>
  </r>
  <r>
    <x v="979"/>
    <x v="938"/>
    <x v="23"/>
    <x v="49"/>
    <x v="51"/>
    <x v="0"/>
    <x v="0"/>
    <x v="0"/>
    <x v="1372"/>
    <x v="1439"/>
    <x v="0"/>
  </r>
  <r>
    <x v="979"/>
    <x v="938"/>
    <x v="3"/>
    <x v="89"/>
    <x v="95"/>
    <x v="562"/>
    <x v="31"/>
    <x v="914"/>
    <x v="1373"/>
    <x v="1440"/>
    <x v="75"/>
  </r>
  <r>
    <x v="979"/>
    <x v="938"/>
    <x v="38"/>
    <x v="82"/>
    <x v="87"/>
    <x v="0"/>
    <x v="0"/>
    <x v="889"/>
    <x v="1207"/>
    <x v="1441"/>
    <x v="0"/>
  </r>
  <r>
    <x v="980"/>
    <x v="97"/>
    <x v="25"/>
    <x v="49"/>
    <x v="51"/>
    <x v="0"/>
    <x v="0"/>
    <x v="915"/>
    <x v="1374"/>
    <x v="1442"/>
    <x v="0"/>
  </r>
  <r>
    <x v="980"/>
    <x v="939"/>
    <x v="23"/>
    <x v="49"/>
    <x v="51"/>
    <x v="0"/>
    <x v="0"/>
    <x v="0"/>
    <x v="1375"/>
    <x v="1443"/>
    <x v="0"/>
  </r>
  <r>
    <x v="980"/>
    <x v="939"/>
    <x v="3"/>
    <x v="89"/>
    <x v="95"/>
    <x v="224"/>
    <x v="31"/>
    <x v="916"/>
    <x v="1376"/>
    <x v="1444"/>
    <x v="35"/>
  </r>
  <r>
    <x v="980"/>
    <x v="939"/>
    <x v="38"/>
    <x v="82"/>
    <x v="87"/>
    <x v="0"/>
    <x v="0"/>
    <x v="917"/>
    <x v="1289"/>
    <x v="1445"/>
    <x v="0"/>
  </r>
  <r>
    <x v="981"/>
    <x v="940"/>
    <x v="38"/>
    <x v="82"/>
    <x v="87"/>
    <x v="0"/>
    <x v="0"/>
    <x v="889"/>
    <x v="1207"/>
    <x v="1446"/>
    <x v="0"/>
  </r>
  <r>
    <x v="982"/>
    <x v="941"/>
    <x v="38"/>
    <x v="82"/>
    <x v="87"/>
    <x v="0"/>
    <x v="0"/>
    <x v="887"/>
    <x v="1264"/>
    <x v="1447"/>
    <x v="0"/>
  </r>
  <r>
    <x v="983"/>
    <x v="942"/>
    <x v="38"/>
    <x v="82"/>
    <x v="87"/>
    <x v="0"/>
    <x v="0"/>
    <x v="889"/>
    <x v="1207"/>
    <x v="1448"/>
    <x v="0"/>
  </r>
  <r>
    <x v="984"/>
    <x v="943"/>
    <x v="38"/>
    <x v="82"/>
    <x v="87"/>
    <x v="0"/>
    <x v="0"/>
    <x v="889"/>
    <x v="1207"/>
    <x v="1449"/>
    <x v="0"/>
  </r>
  <r>
    <x v="985"/>
    <x v="944"/>
    <x v="38"/>
    <x v="82"/>
    <x v="87"/>
    <x v="0"/>
    <x v="0"/>
    <x v="889"/>
    <x v="1207"/>
    <x v="1450"/>
    <x v="0"/>
  </r>
  <r>
    <x v="986"/>
    <x v="945"/>
    <x v="41"/>
    <x v="81"/>
    <x v="88"/>
    <x v="760"/>
    <x v="230"/>
    <x v="918"/>
    <x v="1377"/>
    <x v="1451"/>
    <x v="150"/>
  </r>
  <r>
    <x v="986"/>
    <x v="945"/>
    <x v="38"/>
    <x v="1"/>
    <x v="1"/>
    <x v="0"/>
    <x v="0"/>
    <x v="871"/>
    <x v="1276"/>
    <x v="1452"/>
    <x v="0"/>
  </r>
  <r>
    <x v="987"/>
    <x v="946"/>
    <x v="4"/>
    <x v="1"/>
    <x v="1"/>
    <x v="0"/>
    <x v="0"/>
    <x v="0"/>
    <x v="1378"/>
    <x v="1453"/>
    <x v="0"/>
  </r>
  <r>
    <x v="987"/>
    <x v="946"/>
    <x v="24"/>
    <x v="49"/>
    <x v="51"/>
    <x v="0"/>
    <x v="254"/>
    <x v="0"/>
    <x v="1379"/>
    <x v="1454"/>
    <x v="0"/>
  </r>
  <r>
    <x v="987"/>
    <x v="946"/>
    <x v="38"/>
    <x v="1"/>
    <x v="1"/>
    <x v="0"/>
    <x v="0"/>
    <x v="867"/>
    <x v="1264"/>
    <x v="1455"/>
    <x v="0"/>
  </r>
  <r>
    <x v="988"/>
    <x v="947"/>
    <x v="24"/>
    <x v="49"/>
    <x v="51"/>
    <x v="0"/>
    <x v="255"/>
    <x v="0"/>
    <x v="1380"/>
    <x v="1456"/>
    <x v="0"/>
  </r>
  <r>
    <x v="988"/>
    <x v="947"/>
    <x v="2"/>
    <x v="89"/>
    <x v="95"/>
    <x v="562"/>
    <x v="31"/>
    <x v="914"/>
    <x v="1381"/>
    <x v="1457"/>
    <x v="75"/>
  </r>
  <r>
    <x v="988"/>
    <x v="947"/>
    <x v="2"/>
    <x v="89"/>
    <x v="95"/>
    <x v="761"/>
    <x v="31"/>
    <x v="919"/>
    <x v="1382"/>
    <x v="1458"/>
    <x v="71"/>
  </r>
  <r>
    <x v="988"/>
    <x v="947"/>
    <x v="38"/>
    <x v="1"/>
    <x v="1"/>
    <x v="0"/>
    <x v="0"/>
    <x v="837"/>
    <x v="1207"/>
    <x v="1459"/>
    <x v="0"/>
  </r>
  <r>
    <x v="989"/>
    <x v="948"/>
    <x v="23"/>
    <x v="49"/>
    <x v="51"/>
    <x v="0"/>
    <x v="0"/>
    <x v="0"/>
    <x v="1383"/>
    <x v="1430"/>
    <x v="0"/>
  </r>
  <r>
    <x v="989"/>
    <x v="948"/>
    <x v="3"/>
    <x v="89"/>
    <x v="95"/>
    <x v="762"/>
    <x v="31"/>
    <x v="920"/>
    <x v="1384"/>
    <x v="1460"/>
    <x v="75"/>
  </r>
  <r>
    <x v="989"/>
    <x v="948"/>
    <x v="38"/>
    <x v="1"/>
    <x v="1"/>
    <x v="0"/>
    <x v="0"/>
    <x v="837"/>
    <x v="1207"/>
    <x v="1461"/>
    <x v="0"/>
  </r>
  <r>
    <x v="990"/>
    <x v="949"/>
    <x v="23"/>
    <x v="49"/>
    <x v="51"/>
    <x v="0"/>
    <x v="0"/>
    <x v="0"/>
    <x v="1385"/>
    <x v="1462"/>
    <x v="0"/>
  </r>
  <r>
    <x v="990"/>
    <x v="949"/>
    <x v="3"/>
    <x v="89"/>
    <x v="95"/>
    <x v="763"/>
    <x v="31"/>
    <x v="921"/>
    <x v="1386"/>
    <x v="1463"/>
    <x v="35"/>
  </r>
  <r>
    <x v="991"/>
    <x v="950"/>
    <x v="38"/>
    <x v="1"/>
    <x v="1"/>
    <x v="0"/>
    <x v="0"/>
    <x v="854"/>
    <x v="219"/>
    <x v="1464"/>
    <x v="0"/>
  </r>
  <r>
    <x v="992"/>
    <x v="951"/>
    <x v="24"/>
    <x v="49"/>
    <x v="51"/>
    <x v="0"/>
    <x v="0"/>
    <x v="0"/>
    <x v="1291"/>
    <x v="1463"/>
    <x v="0"/>
  </r>
  <r>
    <x v="992"/>
    <x v="951"/>
    <x v="38"/>
    <x v="1"/>
    <x v="1"/>
    <x v="0"/>
    <x v="0"/>
    <x v="867"/>
    <x v="1264"/>
    <x v="1465"/>
    <x v="0"/>
  </r>
  <r>
    <x v="993"/>
    <x v="952"/>
    <x v="24"/>
    <x v="49"/>
    <x v="51"/>
    <x v="0"/>
    <x v="0"/>
    <x v="0"/>
    <x v="1266"/>
    <x v="1463"/>
    <x v="0"/>
  </r>
  <r>
    <x v="993"/>
    <x v="952"/>
    <x v="38"/>
    <x v="1"/>
    <x v="1"/>
    <x v="0"/>
    <x v="0"/>
    <x v="837"/>
    <x v="1207"/>
    <x v="1466"/>
    <x v="0"/>
  </r>
  <r>
    <x v="994"/>
    <x v="953"/>
    <x v="24"/>
    <x v="49"/>
    <x v="51"/>
    <x v="0"/>
    <x v="0"/>
    <x v="0"/>
    <x v="1208"/>
    <x v="1463"/>
    <x v="0"/>
  </r>
  <r>
    <x v="994"/>
    <x v="953"/>
    <x v="38"/>
    <x v="1"/>
    <x v="1"/>
    <x v="0"/>
    <x v="0"/>
    <x v="837"/>
    <x v="1207"/>
    <x v="1466"/>
    <x v="0"/>
  </r>
  <r>
    <x v="995"/>
    <x v="954"/>
    <x v="24"/>
    <x v="49"/>
    <x v="51"/>
    <x v="0"/>
    <x v="0"/>
    <x v="0"/>
    <x v="1208"/>
    <x v="1463"/>
    <x v="0"/>
  </r>
  <r>
    <x v="995"/>
    <x v="954"/>
    <x v="38"/>
    <x v="1"/>
    <x v="1"/>
    <x v="0"/>
    <x v="0"/>
    <x v="837"/>
    <x v="1207"/>
    <x v="1466"/>
    <x v="0"/>
  </r>
  <r>
    <x v="996"/>
    <x v="955"/>
    <x v="24"/>
    <x v="49"/>
    <x v="51"/>
    <x v="0"/>
    <x v="0"/>
    <x v="0"/>
    <x v="1208"/>
    <x v="1463"/>
    <x v="0"/>
  </r>
  <r>
    <x v="996"/>
    <x v="955"/>
    <x v="38"/>
    <x v="1"/>
    <x v="1"/>
    <x v="0"/>
    <x v="0"/>
    <x v="837"/>
    <x v="1207"/>
    <x v="1466"/>
    <x v="0"/>
  </r>
  <r>
    <x v="997"/>
    <x v="956"/>
    <x v="24"/>
    <x v="49"/>
    <x v="51"/>
    <x v="0"/>
    <x v="0"/>
    <x v="0"/>
    <x v="1208"/>
    <x v="1463"/>
    <x v="0"/>
  </r>
  <r>
    <x v="997"/>
    <x v="956"/>
    <x v="38"/>
    <x v="1"/>
    <x v="1"/>
    <x v="0"/>
    <x v="0"/>
    <x v="867"/>
    <x v="1264"/>
    <x v="1465"/>
    <x v="0"/>
  </r>
  <r>
    <x v="998"/>
    <x v="957"/>
    <x v="23"/>
    <x v="49"/>
    <x v="51"/>
    <x v="0"/>
    <x v="0"/>
    <x v="0"/>
    <x v="1387"/>
    <x v="1462"/>
    <x v="0"/>
  </r>
  <r>
    <x v="998"/>
    <x v="957"/>
    <x v="3"/>
    <x v="89"/>
    <x v="95"/>
    <x v="764"/>
    <x v="31"/>
    <x v="922"/>
    <x v="1388"/>
    <x v="1467"/>
    <x v="0"/>
  </r>
  <r>
    <x v="998"/>
    <x v="957"/>
    <x v="38"/>
    <x v="1"/>
    <x v="1"/>
    <x v="0"/>
    <x v="0"/>
    <x v="837"/>
    <x v="1207"/>
    <x v="1468"/>
    <x v="0"/>
  </r>
  <r>
    <x v="999"/>
    <x v="958"/>
    <x v="24"/>
    <x v="49"/>
    <x v="51"/>
    <x v="0"/>
    <x v="256"/>
    <x v="0"/>
    <x v="1389"/>
    <x v="1469"/>
    <x v="0"/>
  </r>
  <r>
    <x v="999"/>
    <x v="958"/>
    <x v="2"/>
    <x v="89"/>
    <x v="95"/>
    <x v="177"/>
    <x v="31"/>
    <x v="923"/>
    <x v="1390"/>
    <x v="1470"/>
    <x v="35"/>
  </r>
  <r>
    <x v="999"/>
    <x v="958"/>
    <x v="38"/>
    <x v="1"/>
    <x v="1"/>
    <x v="0"/>
    <x v="0"/>
    <x v="837"/>
    <x v="1207"/>
    <x v="1471"/>
    <x v="0"/>
  </r>
  <r>
    <x v="1000"/>
    <x v="959"/>
    <x v="23"/>
    <x v="49"/>
    <x v="51"/>
    <x v="0"/>
    <x v="0"/>
    <x v="0"/>
    <x v="1391"/>
    <x v="1472"/>
    <x v="0"/>
  </r>
  <r>
    <x v="1000"/>
    <x v="959"/>
    <x v="38"/>
    <x v="1"/>
    <x v="1"/>
    <x v="0"/>
    <x v="0"/>
    <x v="850"/>
    <x v="1232"/>
    <x v="1473"/>
    <x v="0"/>
  </r>
  <r>
    <x v="1001"/>
    <x v="960"/>
    <x v="23"/>
    <x v="49"/>
    <x v="51"/>
    <x v="0"/>
    <x v="0"/>
    <x v="0"/>
    <x v="1392"/>
    <x v="1474"/>
    <x v="0"/>
  </r>
  <r>
    <x v="1001"/>
    <x v="960"/>
    <x v="3"/>
    <x v="89"/>
    <x v="95"/>
    <x v="764"/>
    <x v="31"/>
    <x v="922"/>
    <x v="1388"/>
    <x v="1475"/>
    <x v="0"/>
  </r>
  <r>
    <x v="1001"/>
    <x v="958"/>
    <x v="39"/>
    <x v="85"/>
    <x v="90"/>
    <x v="765"/>
    <x v="8"/>
    <x v="924"/>
    <x v="1393"/>
    <x v="1467"/>
    <x v="19"/>
  </r>
  <r>
    <x v="1001"/>
    <x v="960"/>
    <x v="38"/>
    <x v="1"/>
    <x v="1"/>
    <x v="0"/>
    <x v="0"/>
    <x v="850"/>
    <x v="1232"/>
    <x v="1476"/>
    <x v="0"/>
  </r>
  <r>
    <x v="1002"/>
    <x v="961"/>
    <x v="24"/>
    <x v="49"/>
    <x v="51"/>
    <x v="0"/>
    <x v="0"/>
    <x v="0"/>
    <x v="1233"/>
    <x v="1467"/>
    <x v="0"/>
  </r>
  <r>
    <x v="1002"/>
    <x v="961"/>
    <x v="38"/>
    <x v="1"/>
    <x v="1"/>
    <x v="0"/>
    <x v="0"/>
    <x v="867"/>
    <x v="1264"/>
    <x v="1477"/>
    <x v="0"/>
  </r>
  <r>
    <x v="1003"/>
    <x v="962"/>
    <x v="24"/>
    <x v="49"/>
    <x v="51"/>
    <x v="0"/>
    <x v="257"/>
    <x v="0"/>
    <x v="1394"/>
    <x v="1478"/>
    <x v="0"/>
  </r>
  <r>
    <x v="1003"/>
    <x v="962"/>
    <x v="38"/>
    <x v="1"/>
    <x v="1"/>
    <x v="0"/>
    <x v="0"/>
    <x v="837"/>
    <x v="1207"/>
    <x v="1479"/>
    <x v="0"/>
  </r>
  <r>
    <x v="1004"/>
    <x v="963"/>
    <x v="23"/>
    <x v="49"/>
    <x v="51"/>
    <x v="0"/>
    <x v="0"/>
    <x v="0"/>
    <x v="1395"/>
    <x v="1480"/>
    <x v="0"/>
  </r>
  <r>
    <x v="1004"/>
    <x v="963"/>
    <x v="2"/>
    <x v="89"/>
    <x v="95"/>
    <x v="223"/>
    <x v="31"/>
    <x v="925"/>
    <x v="1396"/>
    <x v="657"/>
    <x v="35"/>
  </r>
  <r>
    <x v="1004"/>
    <x v="963"/>
    <x v="38"/>
    <x v="1"/>
    <x v="1"/>
    <x v="0"/>
    <x v="0"/>
    <x v="837"/>
    <x v="1207"/>
    <x v="1244"/>
    <x v="0"/>
  </r>
  <r>
    <x v="1005"/>
    <x v="964"/>
    <x v="3"/>
    <x v="89"/>
    <x v="95"/>
    <x v="214"/>
    <x v="31"/>
    <x v="926"/>
    <x v="1397"/>
    <x v="1481"/>
    <x v="0"/>
  </r>
  <r>
    <x v="1005"/>
    <x v="964"/>
    <x v="38"/>
    <x v="1"/>
    <x v="1"/>
    <x v="0"/>
    <x v="0"/>
    <x v="837"/>
    <x v="1207"/>
    <x v="1482"/>
    <x v="0"/>
  </r>
  <r>
    <x v="1006"/>
    <x v="965"/>
    <x v="38"/>
    <x v="1"/>
    <x v="1"/>
    <x v="0"/>
    <x v="0"/>
    <x v="837"/>
    <x v="1207"/>
    <x v="1483"/>
    <x v="0"/>
  </r>
  <r>
    <x v="1007"/>
    <x v="966"/>
    <x v="1"/>
    <x v="1"/>
    <x v="1"/>
    <x v="0"/>
    <x v="0"/>
    <x v="0"/>
    <x v="1274"/>
    <x v="1484"/>
    <x v="0"/>
  </r>
  <r>
    <x v="1007"/>
    <x v="966"/>
    <x v="2"/>
    <x v="80"/>
    <x v="83"/>
    <x v="752"/>
    <x v="65"/>
    <x v="903"/>
    <x v="1398"/>
    <x v="1485"/>
    <x v="20"/>
  </r>
  <r>
    <x v="1007"/>
    <x v="966"/>
    <x v="38"/>
    <x v="1"/>
    <x v="1"/>
    <x v="0"/>
    <x v="0"/>
    <x v="867"/>
    <x v="1264"/>
    <x v="1486"/>
    <x v="0"/>
  </r>
  <r>
    <x v="1008"/>
    <x v="967"/>
    <x v="24"/>
    <x v="49"/>
    <x v="51"/>
    <x v="0"/>
    <x v="258"/>
    <x v="0"/>
    <x v="1399"/>
    <x v="1487"/>
    <x v="0"/>
  </r>
  <r>
    <x v="1008"/>
    <x v="967"/>
    <x v="2"/>
    <x v="80"/>
    <x v="83"/>
    <x v="379"/>
    <x v="65"/>
    <x v="927"/>
    <x v="1400"/>
    <x v="1488"/>
    <x v="73"/>
  </r>
  <r>
    <x v="1008"/>
    <x v="967"/>
    <x v="38"/>
    <x v="1"/>
    <x v="1"/>
    <x v="0"/>
    <x v="0"/>
    <x v="837"/>
    <x v="1207"/>
    <x v="1489"/>
    <x v="0"/>
  </r>
  <r>
    <x v="1009"/>
    <x v="968"/>
    <x v="24"/>
    <x v="49"/>
    <x v="51"/>
    <x v="0"/>
    <x v="177"/>
    <x v="0"/>
    <x v="1401"/>
    <x v="1490"/>
    <x v="0"/>
  </r>
  <r>
    <x v="1009"/>
    <x v="968"/>
    <x v="2"/>
    <x v="89"/>
    <x v="95"/>
    <x v="766"/>
    <x v="31"/>
    <x v="732"/>
    <x v="1034"/>
    <x v="1488"/>
    <x v="35"/>
  </r>
  <r>
    <x v="1009"/>
    <x v="968"/>
    <x v="38"/>
    <x v="1"/>
    <x v="1"/>
    <x v="0"/>
    <x v="0"/>
    <x v="837"/>
    <x v="1207"/>
    <x v="1489"/>
    <x v="0"/>
  </r>
  <r>
    <x v="1010"/>
    <x v="969"/>
    <x v="23"/>
    <x v="49"/>
    <x v="51"/>
    <x v="0"/>
    <x v="0"/>
    <x v="0"/>
    <x v="1402"/>
    <x v="1491"/>
    <x v="0"/>
  </r>
  <r>
    <x v="1010"/>
    <x v="969"/>
    <x v="3"/>
    <x v="89"/>
    <x v="95"/>
    <x v="530"/>
    <x v="31"/>
    <x v="928"/>
    <x v="1403"/>
    <x v="1492"/>
    <x v="0"/>
  </r>
  <r>
    <x v="1010"/>
    <x v="969"/>
    <x v="3"/>
    <x v="80"/>
    <x v="83"/>
    <x v="752"/>
    <x v="65"/>
    <x v="903"/>
    <x v="1344"/>
    <x v="1493"/>
    <x v="20"/>
  </r>
  <r>
    <x v="1010"/>
    <x v="969"/>
    <x v="38"/>
    <x v="1"/>
    <x v="1"/>
    <x v="0"/>
    <x v="0"/>
    <x v="837"/>
    <x v="1207"/>
    <x v="1494"/>
    <x v="0"/>
  </r>
  <r>
    <x v="1011"/>
    <x v="970"/>
    <x v="24"/>
    <x v="49"/>
    <x v="51"/>
    <x v="0"/>
    <x v="259"/>
    <x v="0"/>
    <x v="1404"/>
    <x v="1495"/>
    <x v="0"/>
  </r>
  <r>
    <x v="1011"/>
    <x v="970"/>
    <x v="2"/>
    <x v="51"/>
    <x v="53"/>
    <x v="754"/>
    <x v="30"/>
    <x v="929"/>
    <x v="1405"/>
    <x v="1493"/>
    <x v="155"/>
  </r>
  <r>
    <x v="1011"/>
    <x v="970"/>
    <x v="38"/>
    <x v="1"/>
    <x v="1"/>
    <x v="0"/>
    <x v="0"/>
    <x v="837"/>
    <x v="1207"/>
    <x v="1494"/>
    <x v="0"/>
  </r>
  <r>
    <x v="1012"/>
    <x v="971"/>
    <x v="24"/>
    <x v="49"/>
    <x v="51"/>
    <x v="0"/>
    <x v="0"/>
    <x v="0"/>
    <x v="1208"/>
    <x v="1493"/>
    <x v="0"/>
  </r>
  <r>
    <x v="1012"/>
    <x v="971"/>
    <x v="38"/>
    <x v="1"/>
    <x v="1"/>
    <x v="0"/>
    <x v="0"/>
    <x v="867"/>
    <x v="1264"/>
    <x v="1496"/>
    <x v="0"/>
  </r>
  <r>
    <x v="1013"/>
    <x v="972"/>
    <x v="3"/>
    <x v="80"/>
    <x v="83"/>
    <x v="767"/>
    <x v="65"/>
    <x v="930"/>
    <x v="1406"/>
    <x v="1497"/>
    <x v="0"/>
  </r>
  <r>
    <x v="1013"/>
    <x v="972"/>
    <x v="2"/>
    <x v="80"/>
    <x v="83"/>
    <x v="752"/>
    <x v="65"/>
    <x v="903"/>
    <x v="1398"/>
    <x v="1498"/>
    <x v="20"/>
  </r>
  <r>
    <x v="1013"/>
    <x v="972"/>
    <x v="38"/>
    <x v="1"/>
    <x v="1"/>
    <x v="0"/>
    <x v="0"/>
    <x v="837"/>
    <x v="1207"/>
    <x v="1499"/>
    <x v="0"/>
  </r>
  <r>
    <x v="1014"/>
    <x v="973"/>
    <x v="38"/>
    <x v="1"/>
    <x v="1"/>
    <x v="0"/>
    <x v="0"/>
    <x v="837"/>
    <x v="1207"/>
    <x v="1500"/>
    <x v="0"/>
  </r>
  <r>
    <x v="1015"/>
    <x v="974"/>
    <x v="38"/>
    <x v="1"/>
    <x v="1"/>
    <x v="0"/>
    <x v="0"/>
    <x v="837"/>
    <x v="1207"/>
    <x v="1501"/>
    <x v="0"/>
  </r>
  <r>
    <x v="1016"/>
    <x v="975"/>
    <x v="4"/>
    <x v="1"/>
    <x v="1"/>
    <x v="0"/>
    <x v="0"/>
    <x v="0"/>
    <x v="4"/>
    <x v="1502"/>
    <x v="0"/>
  </r>
  <r>
    <x v="1016"/>
    <x v="975"/>
    <x v="23"/>
    <x v="49"/>
    <x v="51"/>
    <x v="0"/>
    <x v="0"/>
    <x v="0"/>
    <x v="1407"/>
    <x v="1503"/>
    <x v="0"/>
  </r>
  <r>
    <x v="1016"/>
    <x v="975"/>
    <x v="3"/>
    <x v="80"/>
    <x v="83"/>
    <x v="767"/>
    <x v="65"/>
    <x v="930"/>
    <x v="1408"/>
    <x v="1504"/>
    <x v="0"/>
  </r>
  <r>
    <x v="1016"/>
    <x v="975"/>
    <x v="38"/>
    <x v="1"/>
    <x v="1"/>
    <x v="0"/>
    <x v="0"/>
    <x v="837"/>
    <x v="1207"/>
    <x v="1505"/>
    <x v="0"/>
  </r>
  <r>
    <x v="1017"/>
    <x v="976"/>
    <x v="24"/>
    <x v="49"/>
    <x v="51"/>
    <x v="0"/>
    <x v="0"/>
    <x v="0"/>
    <x v="1208"/>
    <x v="1504"/>
    <x v="0"/>
  </r>
  <r>
    <x v="1017"/>
    <x v="976"/>
    <x v="38"/>
    <x v="1"/>
    <x v="1"/>
    <x v="0"/>
    <x v="0"/>
    <x v="867"/>
    <x v="1264"/>
    <x v="1506"/>
    <x v="0"/>
  </r>
  <r>
    <x v="1018"/>
    <x v="977"/>
    <x v="4"/>
    <x v="1"/>
    <x v="1"/>
    <x v="0"/>
    <x v="0"/>
    <x v="0"/>
    <x v="1409"/>
    <x v="1507"/>
    <x v="0"/>
  </r>
  <r>
    <x v="1018"/>
    <x v="977"/>
    <x v="24"/>
    <x v="49"/>
    <x v="51"/>
    <x v="0"/>
    <x v="16"/>
    <x v="0"/>
    <x v="1410"/>
    <x v="1504"/>
    <x v="0"/>
  </r>
  <r>
    <x v="1018"/>
    <x v="977"/>
    <x v="38"/>
    <x v="1"/>
    <x v="1"/>
    <x v="0"/>
    <x v="0"/>
    <x v="837"/>
    <x v="1207"/>
    <x v="1505"/>
    <x v="0"/>
  </r>
  <r>
    <x v="1019"/>
    <x v="978"/>
    <x v="23"/>
    <x v="49"/>
    <x v="51"/>
    <x v="0"/>
    <x v="0"/>
    <x v="0"/>
    <x v="1411"/>
    <x v="1508"/>
    <x v="0"/>
  </r>
  <r>
    <x v="1019"/>
    <x v="978"/>
    <x v="3"/>
    <x v="51"/>
    <x v="53"/>
    <x v="768"/>
    <x v="30"/>
    <x v="931"/>
    <x v="1412"/>
    <x v="1509"/>
    <x v="148"/>
  </r>
  <r>
    <x v="1019"/>
    <x v="978"/>
    <x v="38"/>
    <x v="1"/>
    <x v="1"/>
    <x v="0"/>
    <x v="0"/>
    <x v="837"/>
    <x v="1207"/>
    <x v="1510"/>
    <x v="0"/>
  </r>
  <r>
    <x v="1020"/>
    <x v="979"/>
    <x v="24"/>
    <x v="49"/>
    <x v="51"/>
    <x v="0"/>
    <x v="0"/>
    <x v="0"/>
    <x v="1195"/>
    <x v="1504"/>
    <x v="0"/>
  </r>
  <r>
    <x v="1020"/>
    <x v="979"/>
    <x v="38"/>
    <x v="1"/>
    <x v="1"/>
    <x v="0"/>
    <x v="0"/>
    <x v="837"/>
    <x v="1207"/>
    <x v="1505"/>
    <x v="0"/>
  </r>
  <r>
    <x v="1021"/>
    <x v="980"/>
    <x v="4"/>
    <x v="1"/>
    <x v="1"/>
    <x v="0"/>
    <x v="0"/>
    <x v="0"/>
    <x v="1413"/>
    <x v="1511"/>
    <x v="0"/>
  </r>
  <r>
    <x v="1021"/>
    <x v="980"/>
    <x v="24"/>
    <x v="49"/>
    <x v="51"/>
    <x v="0"/>
    <x v="260"/>
    <x v="0"/>
    <x v="1414"/>
    <x v="1512"/>
    <x v="0"/>
  </r>
  <r>
    <x v="1021"/>
    <x v="980"/>
    <x v="2"/>
    <x v="80"/>
    <x v="83"/>
    <x v="769"/>
    <x v="65"/>
    <x v="932"/>
    <x v="1415"/>
    <x v="1513"/>
    <x v="20"/>
  </r>
  <r>
    <x v="1021"/>
    <x v="980"/>
    <x v="38"/>
    <x v="1"/>
    <x v="1"/>
    <x v="0"/>
    <x v="0"/>
    <x v="837"/>
    <x v="1207"/>
    <x v="1514"/>
    <x v="0"/>
  </r>
  <r>
    <x v="1022"/>
    <x v="981"/>
    <x v="24"/>
    <x v="49"/>
    <x v="51"/>
    <x v="0"/>
    <x v="261"/>
    <x v="0"/>
    <x v="1416"/>
    <x v="1515"/>
    <x v="0"/>
  </r>
  <r>
    <x v="1022"/>
    <x v="981"/>
    <x v="2"/>
    <x v="80"/>
    <x v="83"/>
    <x v="622"/>
    <x v="65"/>
    <x v="897"/>
    <x v="1324"/>
    <x v="1516"/>
    <x v="73"/>
  </r>
  <r>
    <x v="1022"/>
    <x v="981"/>
    <x v="38"/>
    <x v="1"/>
    <x v="1"/>
    <x v="0"/>
    <x v="0"/>
    <x v="867"/>
    <x v="1264"/>
    <x v="1517"/>
    <x v="0"/>
  </r>
  <r>
    <x v="1023"/>
    <x v="982"/>
    <x v="3"/>
    <x v="80"/>
    <x v="83"/>
    <x v="770"/>
    <x v="65"/>
    <x v="933"/>
    <x v="1417"/>
    <x v="1518"/>
    <x v="20"/>
  </r>
  <r>
    <x v="1023"/>
    <x v="982"/>
    <x v="2"/>
    <x v="80"/>
    <x v="83"/>
    <x v="771"/>
    <x v="65"/>
    <x v="934"/>
    <x v="1418"/>
    <x v="1519"/>
    <x v="73"/>
  </r>
  <r>
    <x v="1023"/>
    <x v="982"/>
    <x v="38"/>
    <x v="1"/>
    <x v="1"/>
    <x v="0"/>
    <x v="0"/>
    <x v="850"/>
    <x v="1232"/>
    <x v="1520"/>
    <x v="0"/>
  </r>
  <r>
    <x v="1024"/>
    <x v="983"/>
    <x v="23"/>
    <x v="49"/>
    <x v="51"/>
    <x v="0"/>
    <x v="0"/>
    <x v="0"/>
    <x v="1419"/>
    <x v="1521"/>
    <x v="0"/>
  </r>
  <r>
    <x v="1024"/>
    <x v="983"/>
    <x v="3"/>
    <x v="80"/>
    <x v="83"/>
    <x v="769"/>
    <x v="65"/>
    <x v="932"/>
    <x v="1420"/>
    <x v="1522"/>
    <x v="20"/>
  </r>
  <r>
    <x v="1024"/>
    <x v="983"/>
    <x v="3"/>
    <x v="80"/>
    <x v="83"/>
    <x v="772"/>
    <x v="65"/>
    <x v="935"/>
    <x v="1421"/>
    <x v="1523"/>
    <x v="0"/>
  </r>
  <r>
    <x v="1024"/>
    <x v="983"/>
    <x v="38"/>
    <x v="1"/>
    <x v="1"/>
    <x v="0"/>
    <x v="0"/>
    <x v="850"/>
    <x v="1232"/>
    <x v="1524"/>
    <x v="0"/>
  </r>
  <r>
    <x v="1025"/>
    <x v="984"/>
    <x v="24"/>
    <x v="49"/>
    <x v="51"/>
    <x v="0"/>
    <x v="0"/>
    <x v="0"/>
    <x v="1233"/>
    <x v="1523"/>
    <x v="0"/>
  </r>
  <r>
    <x v="1025"/>
    <x v="984"/>
    <x v="38"/>
    <x v="1"/>
    <x v="1"/>
    <x v="0"/>
    <x v="0"/>
    <x v="850"/>
    <x v="1232"/>
    <x v="1524"/>
    <x v="0"/>
  </r>
  <r>
    <x v="1026"/>
    <x v="985"/>
    <x v="24"/>
    <x v="49"/>
    <x v="51"/>
    <x v="0"/>
    <x v="0"/>
    <x v="0"/>
    <x v="1233"/>
    <x v="1523"/>
    <x v="0"/>
  </r>
  <r>
    <x v="1026"/>
    <x v="985"/>
    <x v="38"/>
    <x v="1"/>
    <x v="1"/>
    <x v="0"/>
    <x v="0"/>
    <x v="850"/>
    <x v="1232"/>
    <x v="1524"/>
    <x v="0"/>
  </r>
  <r>
    <x v="1027"/>
    <x v="986"/>
    <x v="24"/>
    <x v="49"/>
    <x v="51"/>
    <x v="0"/>
    <x v="262"/>
    <x v="0"/>
    <x v="1422"/>
    <x v="1525"/>
    <x v="0"/>
  </r>
  <r>
    <x v="1027"/>
    <x v="986"/>
    <x v="2"/>
    <x v="89"/>
    <x v="95"/>
    <x v="764"/>
    <x v="31"/>
    <x v="922"/>
    <x v="1423"/>
    <x v="1526"/>
    <x v="35"/>
  </r>
  <r>
    <x v="1027"/>
    <x v="986"/>
    <x v="38"/>
    <x v="1"/>
    <x v="1"/>
    <x v="0"/>
    <x v="0"/>
    <x v="867"/>
    <x v="1264"/>
    <x v="1527"/>
    <x v="0"/>
  </r>
  <r>
    <x v="1028"/>
    <x v="987"/>
    <x v="24"/>
    <x v="49"/>
    <x v="51"/>
    <x v="0"/>
    <x v="263"/>
    <x v="0"/>
    <x v="1424"/>
    <x v="1528"/>
    <x v="0"/>
  </r>
  <r>
    <x v="1028"/>
    <x v="987"/>
    <x v="2"/>
    <x v="89"/>
    <x v="95"/>
    <x v="177"/>
    <x v="31"/>
    <x v="923"/>
    <x v="1390"/>
    <x v="1529"/>
    <x v="75"/>
  </r>
  <r>
    <x v="1028"/>
    <x v="987"/>
    <x v="38"/>
    <x v="1"/>
    <x v="1"/>
    <x v="0"/>
    <x v="0"/>
    <x v="837"/>
    <x v="1207"/>
    <x v="1530"/>
    <x v="0"/>
  </r>
  <r>
    <x v="1029"/>
    <x v="988"/>
    <x v="4"/>
    <x v="1"/>
    <x v="1"/>
    <x v="0"/>
    <x v="0"/>
    <x v="0"/>
    <x v="1413"/>
    <x v="1531"/>
    <x v="0"/>
  </r>
  <r>
    <x v="1029"/>
    <x v="988"/>
    <x v="4"/>
    <x v="1"/>
    <x v="1"/>
    <x v="0"/>
    <x v="0"/>
    <x v="0"/>
    <x v="1413"/>
    <x v="1532"/>
    <x v="0"/>
  </r>
  <r>
    <x v="1029"/>
    <x v="988"/>
    <x v="23"/>
    <x v="49"/>
    <x v="51"/>
    <x v="0"/>
    <x v="0"/>
    <x v="0"/>
    <x v="1425"/>
    <x v="1533"/>
    <x v="0"/>
  </r>
  <r>
    <x v="1029"/>
    <x v="988"/>
    <x v="3"/>
    <x v="89"/>
    <x v="95"/>
    <x v="764"/>
    <x v="31"/>
    <x v="922"/>
    <x v="1388"/>
    <x v="1526"/>
    <x v="35"/>
  </r>
  <r>
    <x v="1029"/>
    <x v="988"/>
    <x v="38"/>
    <x v="1"/>
    <x v="1"/>
    <x v="0"/>
    <x v="0"/>
    <x v="837"/>
    <x v="1207"/>
    <x v="1534"/>
    <x v="0"/>
  </r>
  <r>
    <x v="1030"/>
    <x v="989"/>
    <x v="23"/>
    <x v="49"/>
    <x v="51"/>
    <x v="0"/>
    <x v="0"/>
    <x v="0"/>
    <x v="1426"/>
    <x v="1535"/>
    <x v="0"/>
  </r>
  <r>
    <x v="1030"/>
    <x v="989"/>
    <x v="3"/>
    <x v="89"/>
    <x v="95"/>
    <x v="773"/>
    <x v="31"/>
    <x v="936"/>
    <x v="794"/>
    <x v="1536"/>
    <x v="0"/>
  </r>
  <r>
    <x v="1030"/>
    <x v="989"/>
    <x v="38"/>
    <x v="1"/>
    <x v="1"/>
    <x v="0"/>
    <x v="0"/>
    <x v="837"/>
    <x v="1207"/>
    <x v="1537"/>
    <x v="0"/>
  </r>
  <r>
    <x v="1031"/>
    <x v="990"/>
    <x v="24"/>
    <x v="49"/>
    <x v="91"/>
    <x v="0"/>
    <x v="0"/>
    <x v="0"/>
    <x v="1208"/>
    <x v="1536"/>
    <x v="0"/>
  </r>
  <r>
    <x v="1031"/>
    <x v="990"/>
    <x v="38"/>
    <x v="1"/>
    <x v="1"/>
    <x v="0"/>
    <x v="0"/>
    <x v="837"/>
    <x v="1207"/>
    <x v="1537"/>
    <x v="0"/>
  </r>
  <r>
    <x v="1032"/>
    <x v="991"/>
    <x v="4"/>
    <x v="1"/>
    <x v="1"/>
    <x v="0"/>
    <x v="0"/>
    <x v="0"/>
    <x v="265"/>
    <x v="1538"/>
    <x v="0"/>
  </r>
  <r>
    <x v="1032"/>
    <x v="991"/>
    <x v="30"/>
    <x v="72"/>
    <x v="73"/>
    <x v="0"/>
    <x v="0"/>
    <x v="513"/>
    <x v="289"/>
    <x v="1539"/>
    <x v="0"/>
  </r>
  <r>
    <x v="1032"/>
    <x v="991"/>
    <x v="4"/>
    <x v="1"/>
    <x v="1"/>
    <x v="0"/>
    <x v="0"/>
    <x v="0"/>
    <x v="1427"/>
    <x v="1538"/>
    <x v="0"/>
  </r>
  <r>
    <x v="1032"/>
    <x v="991"/>
    <x v="31"/>
    <x v="49"/>
    <x v="91"/>
    <x v="0"/>
    <x v="64"/>
    <x v="513"/>
    <x v="289"/>
    <x v="1539"/>
    <x v="0"/>
  </r>
  <r>
    <x v="1032"/>
    <x v="991"/>
    <x v="23"/>
    <x v="49"/>
    <x v="51"/>
    <x v="0"/>
    <x v="0"/>
    <x v="0"/>
    <x v="1428"/>
    <x v="1540"/>
    <x v="0"/>
  </r>
  <r>
    <x v="1032"/>
    <x v="991"/>
    <x v="30"/>
    <x v="72"/>
    <x v="73"/>
    <x v="0"/>
    <x v="0"/>
    <x v="0"/>
    <x v="1427"/>
    <x v="657"/>
    <x v="0"/>
  </r>
  <r>
    <x v="1032"/>
    <x v="991"/>
    <x v="38"/>
    <x v="1"/>
    <x v="1"/>
    <x v="0"/>
    <x v="0"/>
    <x v="867"/>
    <x v="1264"/>
    <x v="1254"/>
    <x v="0"/>
  </r>
  <r>
    <x v="1033"/>
    <x v="992"/>
    <x v="24"/>
    <x v="49"/>
    <x v="51"/>
    <x v="0"/>
    <x v="0"/>
    <x v="0"/>
    <x v="1266"/>
    <x v="657"/>
    <x v="0"/>
  </r>
  <r>
    <x v="1033"/>
    <x v="992"/>
    <x v="38"/>
    <x v="1"/>
    <x v="1"/>
    <x v="0"/>
    <x v="0"/>
    <x v="837"/>
    <x v="1207"/>
    <x v="1244"/>
    <x v="0"/>
  </r>
  <r>
    <x v="1034"/>
    <x v="993"/>
    <x v="24"/>
    <x v="49"/>
    <x v="51"/>
    <x v="0"/>
    <x v="0"/>
    <x v="0"/>
    <x v="1208"/>
    <x v="657"/>
    <x v="0"/>
  </r>
  <r>
    <x v="1034"/>
    <x v="993"/>
    <x v="38"/>
    <x v="1"/>
    <x v="1"/>
    <x v="0"/>
    <x v="0"/>
    <x v="837"/>
    <x v="1207"/>
    <x v="1244"/>
    <x v="0"/>
  </r>
  <r>
    <x v="1035"/>
    <x v="994"/>
    <x v="24"/>
    <x v="49"/>
    <x v="51"/>
    <x v="0"/>
    <x v="0"/>
    <x v="0"/>
    <x v="1208"/>
    <x v="657"/>
    <x v="0"/>
  </r>
  <r>
    <x v="1035"/>
    <x v="994"/>
    <x v="38"/>
    <x v="1"/>
    <x v="1"/>
    <x v="0"/>
    <x v="0"/>
    <x v="837"/>
    <x v="1207"/>
    <x v="1244"/>
    <x v="0"/>
  </r>
  <r>
    <x v="1036"/>
    <x v="995"/>
    <x v="24"/>
    <x v="49"/>
    <x v="91"/>
    <x v="0"/>
    <x v="0"/>
    <x v="0"/>
    <x v="1208"/>
    <x v="657"/>
    <x v="0"/>
  </r>
  <r>
    <x v="1036"/>
    <x v="995"/>
    <x v="38"/>
    <x v="1"/>
    <x v="1"/>
    <x v="0"/>
    <x v="0"/>
    <x v="837"/>
    <x v="1207"/>
    <x v="1244"/>
    <x v="0"/>
  </r>
  <r>
    <x v="1037"/>
    <x v="996"/>
    <x v="5"/>
    <x v="1"/>
    <x v="1"/>
    <x v="0"/>
    <x v="0"/>
    <x v="0"/>
    <x v="1429"/>
    <x v="1541"/>
    <x v="0"/>
  </r>
  <r>
    <x v="1037"/>
    <x v="996"/>
    <x v="24"/>
    <x v="49"/>
    <x v="51"/>
    <x v="0"/>
    <x v="264"/>
    <x v="0"/>
    <x v="1430"/>
    <x v="1542"/>
    <x v="0"/>
  </r>
  <r>
    <x v="1037"/>
    <x v="996"/>
    <x v="2"/>
    <x v="89"/>
    <x v="95"/>
    <x v="763"/>
    <x v="265"/>
    <x v="673"/>
    <x v="923"/>
    <x v="1543"/>
    <x v="92"/>
  </r>
  <r>
    <x v="1037"/>
    <x v="996"/>
    <x v="38"/>
    <x v="1"/>
    <x v="1"/>
    <x v="0"/>
    <x v="0"/>
    <x v="867"/>
    <x v="1264"/>
    <x v="1544"/>
    <x v="0"/>
  </r>
  <r>
    <x v="1038"/>
    <x v="997"/>
    <x v="38"/>
    <x v="1"/>
    <x v="1"/>
    <x v="0"/>
    <x v="0"/>
    <x v="850"/>
    <x v="1232"/>
    <x v="1545"/>
    <x v="0"/>
  </r>
  <r>
    <x v="1039"/>
    <x v="998"/>
    <x v="24"/>
    <x v="49"/>
    <x v="51"/>
    <x v="0"/>
    <x v="266"/>
    <x v="0"/>
    <x v="1431"/>
    <x v="1546"/>
    <x v="0"/>
  </r>
  <r>
    <x v="1039"/>
    <x v="97"/>
    <x v="25"/>
    <x v="49"/>
    <x v="51"/>
    <x v="0"/>
    <x v="0"/>
    <x v="937"/>
    <x v="1432"/>
    <x v="1547"/>
    <x v="0"/>
  </r>
  <r>
    <x v="1039"/>
    <x v="998"/>
    <x v="42"/>
    <x v="90"/>
    <x v="96"/>
    <x v="774"/>
    <x v="1"/>
    <x v="938"/>
    <x v="1433"/>
    <x v="1548"/>
    <x v="1"/>
  </r>
  <r>
    <x v="1039"/>
    <x v="998"/>
    <x v="38"/>
    <x v="1"/>
    <x v="1"/>
    <x v="0"/>
    <x v="0"/>
    <x v="850"/>
    <x v="1232"/>
    <x v="1549"/>
    <x v="0"/>
  </r>
  <r>
    <x v="1040"/>
    <x v="999"/>
    <x v="38"/>
    <x v="1"/>
    <x v="1"/>
    <x v="0"/>
    <x v="0"/>
    <x v="850"/>
    <x v="1232"/>
    <x v="1550"/>
    <x v="0"/>
  </r>
  <r>
    <x v="1041"/>
    <x v="998"/>
    <x v="43"/>
    <x v="90"/>
    <x v="96"/>
    <x v="774"/>
    <x v="1"/>
    <x v="938"/>
    <x v="1434"/>
    <x v="1551"/>
    <x v="0"/>
  </r>
  <r>
    <x v="1041"/>
    <x v="1000"/>
    <x v="2"/>
    <x v="89"/>
    <x v="95"/>
    <x v="175"/>
    <x v="265"/>
    <x v="939"/>
    <x v="1435"/>
    <x v="1552"/>
    <x v="156"/>
  </r>
  <r>
    <x v="1041"/>
    <x v="1000"/>
    <x v="38"/>
    <x v="1"/>
    <x v="1"/>
    <x v="0"/>
    <x v="0"/>
    <x v="837"/>
    <x v="1207"/>
    <x v="1553"/>
    <x v="0"/>
  </r>
  <r>
    <x v="1042"/>
    <x v="1001"/>
    <x v="23"/>
    <x v="49"/>
    <x v="51"/>
    <x v="0"/>
    <x v="0"/>
    <x v="0"/>
    <x v="1436"/>
    <x v="657"/>
    <x v="0"/>
  </r>
  <r>
    <x v="1043"/>
    <x v="1002"/>
    <x v="38"/>
    <x v="1"/>
    <x v="1"/>
    <x v="0"/>
    <x v="0"/>
    <x v="829"/>
    <x v="1190"/>
    <x v="1346"/>
    <x v="0"/>
  </r>
  <r>
    <x v="1044"/>
    <x v="1003"/>
    <x v="24"/>
    <x v="49"/>
    <x v="51"/>
    <x v="0"/>
    <x v="0"/>
    <x v="0"/>
    <x v="1298"/>
    <x v="657"/>
    <x v="0"/>
  </r>
  <r>
    <x v="1044"/>
    <x v="1003"/>
    <x v="38"/>
    <x v="1"/>
    <x v="1"/>
    <x v="0"/>
    <x v="0"/>
    <x v="837"/>
    <x v="1207"/>
    <x v="1244"/>
    <x v="0"/>
  </r>
  <r>
    <x v="1045"/>
    <x v="1004"/>
    <x v="24"/>
    <x v="49"/>
    <x v="51"/>
    <x v="0"/>
    <x v="0"/>
    <x v="0"/>
    <x v="1208"/>
    <x v="657"/>
    <x v="0"/>
  </r>
  <r>
    <x v="1045"/>
    <x v="1004"/>
    <x v="38"/>
    <x v="1"/>
    <x v="1"/>
    <x v="0"/>
    <x v="0"/>
    <x v="837"/>
    <x v="1207"/>
    <x v="1244"/>
    <x v="0"/>
  </r>
  <r>
    <x v="1046"/>
    <x v="1005"/>
    <x v="24"/>
    <x v="49"/>
    <x v="51"/>
    <x v="0"/>
    <x v="0"/>
    <x v="0"/>
    <x v="1208"/>
    <x v="657"/>
    <x v="0"/>
  </r>
  <r>
    <x v="1047"/>
    <x v="1006"/>
    <x v="38"/>
    <x v="82"/>
    <x v="87"/>
    <x v="0"/>
    <x v="0"/>
    <x v="940"/>
    <x v="1437"/>
    <x v="1554"/>
    <x v="0"/>
  </r>
  <r>
    <x v="1048"/>
    <x v="1007"/>
    <x v="24"/>
    <x v="49"/>
    <x v="51"/>
    <x v="0"/>
    <x v="0"/>
    <x v="0"/>
    <x v="1438"/>
    <x v="657"/>
    <x v="0"/>
  </r>
  <r>
    <x v="1048"/>
    <x v="1007"/>
    <x v="38"/>
    <x v="82"/>
    <x v="87"/>
    <x v="0"/>
    <x v="0"/>
    <x v="837"/>
    <x v="1207"/>
    <x v="1244"/>
    <x v="0"/>
  </r>
  <r>
    <x v="1049"/>
    <x v="1008"/>
    <x v="38"/>
    <x v="82"/>
    <x v="87"/>
    <x v="0"/>
    <x v="0"/>
    <x v="837"/>
    <x v="1207"/>
    <x v="1244"/>
    <x v="0"/>
  </r>
  <r>
    <x v="1049"/>
    <x v="1008"/>
    <x v="24"/>
    <x v="49"/>
    <x v="51"/>
    <x v="0"/>
    <x v="0"/>
    <x v="0"/>
    <x v="1208"/>
    <x v="657"/>
    <x v="0"/>
  </r>
  <r>
    <x v="1050"/>
    <x v="1009"/>
    <x v="38"/>
    <x v="82"/>
    <x v="87"/>
    <x v="0"/>
    <x v="0"/>
    <x v="837"/>
    <x v="1207"/>
    <x v="1244"/>
    <x v="0"/>
  </r>
  <r>
    <x v="1050"/>
    <x v="1009"/>
    <x v="24"/>
    <x v="49"/>
    <x v="51"/>
    <x v="0"/>
    <x v="267"/>
    <x v="0"/>
    <x v="1439"/>
    <x v="1555"/>
    <x v="0"/>
  </r>
  <r>
    <x v="1050"/>
    <x v="1007"/>
    <x v="26"/>
    <x v="91"/>
    <x v="97"/>
    <x v="775"/>
    <x v="3"/>
    <x v="941"/>
    <x v="1440"/>
    <x v="657"/>
    <x v="0"/>
  </r>
  <r>
    <x v="1051"/>
    <x v="1010"/>
    <x v="38"/>
    <x v="82"/>
    <x v="87"/>
    <x v="0"/>
    <x v="0"/>
    <x v="867"/>
    <x v="1264"/>
    <x v="1254"/>
    <x v="0"/>
  </r>
  <r>
    <x v="1051"/>
    <x v="1010"/>
    <x v="24"/>
    <x v="49"/>
    <x v="51"/>
    <x v="0"/>
    <x v="0"/>
    <x v="0"/>
    <x v="1208"/>
    <x v="657"/>
    <x v="0"/>
  </r>
  <r>
    <x v="1051"/>
    <x v="1007"/>
    <x v="27"/>
    <x v="91"/>
    <x v="97"/>
    <x v="775"/>
    <x v="3"/>
    <x v="941"/>
    <x v="0"/>
    <x v="657"/>
    <x v="3"/>
  </r>
  <r>
    <x v="1052"/>
    <x v="1007"/>
    <x v="28"/>
    <x v="91"/>
    <x v="97"/>
    <x v="775"/>
    <x v="3"/>
    <x v="0"/>
    <x v="0"/>
    <x v="657"/>
    <x v="3"/>
  </r>
  <r>
    <x v="1052"/>
    <x v="1007"/>
    <x v="34"/>
    <x v="91"/>
    <x v="97"/>
    <x v="775"/>
    <x v="3"/>
    <x v="941"/>
    <x v="0"/>
    <x v="657"/>
    <x v="0"/>
  </r>
  <r>
    <x v="1052"/>
    <x v="1011"/>
    <x v="24"/>
    <x v="49"/>
    <x v="51"/>
    <x v="0"/>
    <x v="0"/>
    <x v="0"/>
    <x v="1266"/>
    <x v="657"/>
    <x v="0"/>
  </r>
  <r>
    <x v="1052"/>
    <x v="1011"/>
    <x v="38"/>
    <x v="82"/>
    <x v="87"/>
    <x v="0"/>
    <x v="0"/>
    <x v="837"/>
    <x v="1207"/>
    <x v="1244"/>
    <x v="0"/>
  </r>
  <r>
    <x v="1053"/>
    <x v="1012"/>
    <x v="38"/>
    <x v="82"/>
    <x v="87"/>
    <x v="0"/>
    <x v="0"/>
    <x v="837"/>
    <x v="1207"/>
    <x v="1244"/>
    <x v="0"/>
  </r>
  <r>
    <x v="1053"/>
    <x v="1012"/>
    <x v="24"/>
    <x v="49"/>
    <x v="51"/>
    <x v="0"/>
    <x v="0"/>
    <x v="0"/>
    <x v="1208"/>
    <x v="657"/>
    <x v="0"/>
  </r>
  <r>
    <x v="1054"/>
    <x v="1013"/>
    <x v="38"/>
    <x v="82"/>
    <x v="87"/>
    <x v="0"/>
    <x v="0"/>
    <x v="837"/>
    <x v="1207"/>
    <x v="1244"/>
    <x v="0"/>
  </r>
  <r>
    <x v="1054"/>
    <x v="1013"/>
    <x v="24"/>
    <x v="49"/>
    <x v="51"/>
    <x v="0"/>
    <x v="0"/>
    <x v="0"/>
    <x v="1208"/>
    <x v="657"/>
    <x v="0"/>
  </r>
  <r>
    <x v="1055"/>
    <x v="1014"/>
    <x v="38"/>
    <x v="82"/>
    <x v="87"/>
    <x v="0"/>
    <x v="0"/>
    <x v="837"/>
    <x v="1207"/>
    <x v="1244"/>
    <x v="0"/>
  </r>
  <r>
    <x v="1055"/>
    <x v="1014"/>
    <x v="24"/>
    <x v="49"/>
    <x v="51"/>
    <x v="0"/>
    <x v="0"/>
    <x v="0"/>
    <x v="1208"/>
    <x v="657"/>
    <x v="0"/>
  </r>
  <r>
    <x v="1056"/>
    <x v="1015"/>
    <x v="38"/>
    <x v="82"/>
    <x v="87"/>
    <x v="0"/>
    <x v="0"/>
    <x v="867"/>
    <x v="1264"/>
    <x v="1254"/>
    <x v="0"/>
  </r>
  <r>
    <x v="1056"/>
    <x v="1015"/>
    <x v="24"/>
    <x v="49"/>
    <x v="51"/>
    <x v="0"/>
    <x v="0"/>
    <x v="0"/>
    <x v="1208"/>
    <x v="657"/>
    <x v="0"/>
  </r>
  <r>
    <x v="1057"/>
    <x v="1016"/>
    <x v="38"/>
    <x v="82"/>
    <x v="87"/>
    <x v="0"/>
    <x v="0"/>
    <x v="837"/>
    <x v="1207"/>
    <x v="1244"/>
    <x v="0"/>
  </r>
  <r>
    <x v="1057"/>
    <x v="1016"/>
    <x v="24"/>
    <x v="49"/>
    <x v="51"/>
    <x v="0"/>
    <x v="0"/>
    <x v="0"/>
    <x v="1266"/>
    <x v="657"/>
    <x v="0"/>
  </r>
  <r>
    <x v="1058"/>
    <x v="1017"/>
    <x v="38"/>
    <x v="82"/>
    <x v="87"/>
    <x v="0"/>
    <x v="0"/>
    <x v="837"/>
    <x v="1207"/>
    <x v="1244"/>
    <x v="0"/>
  </r>
  <r>
    <x v="1058"/>
    <x v="1017"/>
    <x v="23"/>
    <x v="49"/>
    <x v="51"/>
    <x v="0"/>
    <x v="0"/>
    <x v="0"/>
    <x v="1441"/>
    <x v="1556"/>
    <x v="0"/>
  </r>
  <r>
    <x v="1058"/>
    <x v="1017"/>
    <x v="3"/>
    <x v="91"/>
    <x v="97"/>
    <x v="776"/>
    <x v="3"/>
    <x v="942"/>
    <x v="1442"/>
    <x v="657"/>
    <x v="0"/>
  </r>
  <r>
    <x v="1059"/>
    <x v="1018"/>
    <x v="24"/>
    <x v="49"/>
    <x v="51"/>
    <x v="0"/>
    <x v="0"/>
    <x v="0"/>
    <x v="1208"/>
    <x v="657"/>
    <x v="0"/>
  </r>
  <r>
    <x v="1059"/>
    <x v="1018"/>
    <x v="38"/>
    <x v="82"/>
    <x v="87"/>
    <x v="0"/>
    <x v="0"/>
    <x v="837"/>
    <x v="1207"/>
    <x v="1244"/>
    <x v="0"/>
  </r>
  <r>
    <x v="1060"/>
    <x v="1019"/>
    <x v="38"/>
    <x v="82"/>
    <x v="87"/>
    <x v="0"/>
    <x v="0"/>
    <x v="837"/>
    <x v="1207"/>
    <x v="1244"/>
    <x v="0"/>
  </r>
  <r>
    <x v="1060"/>
    <x v="1019"/>
    <x v="24"/>
    <x v="49"/>
    <x v="51"/>
    <x v="0"/>
    <x v="0"/>
    <x v="0"/>
    <x v="1208"/>
    <x v="657"/>
    <x v="0"/>
  </r>
  <r>
    <x v="1061"/>
    <x v="1020"/>
    <x v="24"/>
    <x v="49"/>
    <x v="51"/>
    <x v="0"/>
    <x v="0"/>
    <x v="0"/>
    <x v="1208"/>
    <x v="657"/>
    <x v="0"/>
  </r>
  <r>
    <x v="1061"/>
    <x v="1020"/>
    <x v="38"/>
    <x v="82"/>
    <x v="87"/>
    <x v="0"/>
    <x v="0"/>
    <x v="867"/>
    <x v="1264"/>
    <x v="1254"/>
    <x v="0"/>
  </r>
  <r>
    <x v="1062"/>
    <x v="1021"/>
    <x v="24"/>
    <x v="49"/>
    <x v="51"/>
    <x v="0"/>
    <x v="0"/>
    <x v="0"/>
    <x v="1266"/>
    <x v="657"/>
    <x v="0"/>
  </r>
  <r>
    <x v="1062"/>
    <x v="1021"/>
    <x v="38"/>
    <x v="82"/>
    <x v="87"/>
    <x v="0"/>
    <x v="0"/>
    <x v="837"/>
    <x v="1207"/>
    <x v="1244"/>
    <x v="0"/>
  </r>
  <r>
    <x v="1063"/>
    <x v="1022"/>
    <x v="38"/>
    <x v="82"/>
    <x v="87"/>
    <x v="0"/>
    <x v="0"/>
    <x v="837"/>
    <x v="1207"/>
    <x v="1244"/>
    <x v="0"/>
  </r>
  <r>
    <x v="1063"/>
    <x v="1022"/>
    <x v="24"/>
    <x v="49"/>
    <x v="51"/>
    <x v="0"/>
    <x v="0"/>
    <x v="0"/>
    <x v="1208"/>
    <x v="657"/>
    <x v="0"/>
  </r>
  <r>
    <x v="1064"/>
    <x v="1023"/>
    <x v="38"/>
    <x v="82"/>
    <x v="87"/>
    <x v="0"/>
    <x v="0"/>
    <x v="837"/>
    <x v="1207"/>
    <x v="1244"/>
    <x v="0"/>
  </r>
  <r>
    <x v="1064"/>
    <x v="1023"/>
    <x v="24"/>
    <x v="49"/>
    <x v="51"/>
    <x v="0"/>
    <x v="0"/>
    <x v="0"/>
    <x v="1208"/>
    <x v="657"/>
    <x v="0"/>
  </r>
  <r>
    <x v="1065"/>
    <x v="1024"/>
    <x v="38"/>
    <x v="82"/>
    <x v="87"/>
    <x v="0"/>
    <x v="0"/>
    <x v="837"/>
    <x v="1207"/>
    <x v="1244"/>
    <x v="0"/>
  </r>
  <r>
    <x v="1065"/>
    <x v="1024"/>
    <x v="24"/>
    <x v="49"/>
    <x v="51"/>
    <x v="0"/>
    <x v="0"/>
    <x v="0"/>
    <x v="1208"/>
    <x v="657"/>
    <x v="0"/>
  </r>
  <r>
    <x v="1066"/>
    <x v="1025"/>
    <x v="38"/>
    <x v="82"/>
    <x v="87"/>
    <x v="0"/>
    <x v="0"/>
    <x v="943"/>
    <x v="1443"/>
    <x v="1557"/>
    <x v="0"/>
  </r>
  <r>
    <x v="1066"/>
    <x v="1025"/>
    <x v="24"/>
    <x v="49"/>
    <x v="51"/>
    <x v="0"/>
    <x v="0"/>
    <x v="0"/>
    <x v="1208"/>
    <x v="657"/>
    <x v="0"/>
  </r>
  <r>
    <x v="1067"/>
    <x v="1026"/>
    <x v="24"/>
    <x v="49"/>
    <x v="51"/>
    <x v="0"/>
    <x v="0"/>
    <x v="0"/>
    <x v="1444"/>
    <x v="657"/>
    <x v="0"/>
  </r>
  <r>
    <x v="1067"/>
    <x v="1026"/>
    <x v="38"/>
    <x v="82"/>
    <x v="87"/>
    <x v="0"/>
    <x v="0"/>
    <x v="837"/>
    <x v="1207"/>
    <x v="1244"/>
    <x v="0"/>
  </r>
  <r>
    <x v="1068"/>
    <x v="1027"/>
    <x v="24"/>
    <x v="49"/>
    <x v="51"/>
    <x v="0"/>
    <x v="0"/>
    <x v="0"/>
    <x v="1208"/>
    <x v="657"/>
    <x v="0"/>
  </r>
  <r>
    <x v="1068"/>
    <x v="1027"/>
    <x v="38"/>
    <x v="82"/>
    <x v="87"/>
    <x v="0"/>
    <x v="0"/>
    <x v="837"/>
    <x v="1207"/>
    <x v="1244"/>
    <x v="0"/>
  </r>
  <r>
    <x v="1069"/>
    <x v="1028"/>
    <x v="24"/>
    <x v="49"/>
    <x v="51"/>
    <x v="0"/>
    <x v="0"/>
    <x v="0"/>
    <x v="1208"/>
    <x v="657"/>
    <x v="0"/>
  </r>
  <r>
    <x v="1069"/>
    <x v="1028"/>
    <x v="38"/>
    <x v="82"/>
    <x v="87"/>
    <x v="0"/>
    <x v="0"/>
    <x v="837"/>
    <x v="1207"/>
    <x v="1244"/>
    <x v="0"/>
  </r>
  <r>
    <x v="1070"/>
    <x v="1029"/>
    <x v="24"/>
    <x v="49"/>
    <x v="51"/>
    <x v="0"/>
    <x v="0"/>
    <x v="0"/>
    <x v="1208"/>
    <x v="657"/>
    <x v="0"/>
  </r>
  <r>
    <x v="1070"/>
    <x v="1029"/>
    <x v="38"/>
    <x v="82"/>
    <x v="87"/>
    <x v="0"/>
    <x v="0"/>
    <x v="837"/>
    <x v="1207"/>
    <x v="1244"/>
    <x v="0"/>
  </r>
  <r>
    <x v="1071"/>
    <x v="1030"/>
    <x v="38"/>
    <x v="82"/>
    <x v="87"/>
    <x v="0"/>
    <x v="0"/>
    <x v="867"/>
    <x v="1264"/>
    <x v="1254"/>
    <x v="0"/>
  </r>
  <r>
    <x v="1071"/>
    <x v="1030"/>
    <x v="24"/>
    <x v="49"/>
    <x v="51"/>
    <x v="0"/>
    <x v="0"/>
    <x v="0"/>
    <x v="1208"/>
    <x v="657"/>
    <x v="0"/>
  </r>
  <r>
    <x v="1072"/>
    <x v="1031"/>
    <x v="24"/>
    <x v="49"/>
    <x v="51"/>
    <x v="0"/>
    <x v="0"/>
    <x v="0"/>
    <x v="1266"/>
    <x v="657"/>
    <x v="0"/>
  </r>
  <r>
    <x v="1072"/>
    <x v="1031"/>
    <x v="38"/>
    <x v="82"/>
    <x v="87"/>
    <x v="0"/>
    <x v="0"/>
    <x v="837"/>
    <x v="1207"/>
    <x v="1244"/>
    <x v="0"/>
  </r>
  <r>
    <x v="1073"/>
    <x v="1032"/>
    <x v="38"/>
    <x v="82"/>
    <x v="87"/>
    <x v="0"/>
    <x v="0"/>
    <x v="837"/>
    <x v="1207"/>
    <x v="1244"/>
    <x v="0"/>
  </r>
  <r>
    <x v="1073"/>
    <x v="1032"/>
    <x v="24"/>
    <x v="49"/>
    <x v="51"/>
    <x v="0"/>
    <x v="0"/>
    <x v="0"/>
    <x v="1208"/>
    <x v="657"/>
    <x v="0"/>
  </r>
  <r>
    <x v="1074"/>
    <x v="1033"/>
    <x v="38"/>
    <x v="82"/>
    <x v="87"/>
    <x v="0"/>
    <x v="0"/>
    <x v="837"/>
    <x v="1207"/>
    <x v="1244"/>
    <x v="0"/>
  </r>
  <r>
    <x v="1074"/>
    <x v="1033"/>
    <x v="24"/>
    <x v="49"/>
    <x v="51"/>
    <x v="0"/>
    <x v="0"/>
    <x v="0"/>
    <x v="1208"/>
    <x v="657"/>
    <x v="0"/>
  </r>
  <r>
    <x v="1075"/>
    <x v="1034"/>
    <x v="24"/>
    <x v="49"/>
    <x v="51"/>
    <x v="0"/>
    <x v="0"/>
    <x v="0"/>
    <x v="1208"/>
    <x v="657"/>
    <x v="0"/>
  </r>
  <r>
    <x v="1075"/>
    <x v="1034"/>
    <x v="38"/>
    <x v="82"/>
    <x v="87"/>
    <x v="0"/>
    <x v="0"/>
    <x v="837"/>
    <x v="1207"/>
    <x v="1244"/>
    <x v="0"/>
  </r>
  <r>
    <x v="1076"/>
    <x v="1035"/>
    <x v="38"/>
    <x v="82"/>
    <x v="87"/>
    <x v="0"/>
    <x v="0"/>
    <x v="867"/>
    <x v="1264"/>
    <x v="1254"/>
    <x v="0"/>
  </r>
  <r>
    <x v="1076"/>
    <x v="1035"/>
    <x v="24"/>
    <x v="49"/>
    <x v="51"/>
    <x v="0"/>
    <x v="0"/>
    <x v="0"/>
    <x v="1208"/>
    <x v="657"/>
    <x v="0"/>
  </r>
  <r>
    <x v="1077"/>
    <x v="1036"/>
    <x v="24"/>
    <x v="49"/>
    <x v="51"/>
    <x v="0"/>
    <x v="0"/>
    <x v="0"/>
    <x v="1266"/>
    <x v="657"/>
    <x v="0"/>
  </r>
  <r>
    <x v="1077"/>
    <x v="1036"/>
    <x v="38"/>
    <x v="82"/>
    <x v="87"/>
    <x v="0"/>
    <x v="0"/>
    <x v="837"/>
    <x v="1207"/>
    <x v="1244"/>
    <x v="0"/>
  </r>
  <r>
    <x v="1078"/>
    <x v="1037"/>
    <x v="38"/>
    <x v="82"/>
    <x v="87"/>
    <x v="0"/>
    <x v="0"/>
    <x v="837"/>
    <x v="1207"/>
    <x v="1244"/>
    <x v="0"/>
  </r>
  <r>
    <x v="1078"/>
    <x v="1037"/>
    <x v="24"/>
    <x v="49"/>
    <x v="51"/>
    <x v="0"/>
    <x v="0"/>
    <x v="0"/>
    <x v="1208"/>
    <x v="657"/>
    <x v="0"/>
  </r>
  <r>
    <x v="1079"/>
    <x v="1038"/>
    <x v="24"/>
    <x v="49"/>
    <x v="51"/>
    <x v="0"/>
    <x v="0"/>
    <x v="0"/>
    <x v="1208"/>
    <x v="657"/>
    <x v="0"/>
  </r>
  <r>
    <x v="1079"/>
    <x v="1038"/>
    <x v="38"/>
    <x v="82"/>
    <x v="87"/>
    <x v="0"/>
    <x v="0"/>
    <x v="837"/>
    <x v="1207"/>
    <x v="1244"/>
    <x v="0"/>
  </r>
  <r>
    <x v="1080"/>
    <x v="1039"/>
    <x v="24"/>
    <x v="49"/>
    <x v="51"/>
    <x v="0"/>
    <x v="0"/>
    <x v="0"/>
    <x v="1208"/>
    <x v="657"/>
    <x v="0"/>
  </r>
  <r>
    <x v="1080"/>
    <x v="1039"/>
    <x v="38"/>
    <x v="82"/>
    <x v="87"/>
    <x v="0"/>
    <x v="0"/>
    <x v="837"/>
    <x v="1207"/>
    <x v="1244"/>
    <x v="0"/>
  </r>
  <r>
    <x v="1081"/>
    <x v="1040"/>
    <x v="24"/>
    <x v="49"/>
    <x v="51"/>
    <x v="0"/>
    <x v="0"/>
    <x v="0"/>
    <x v="1208"/>
    <x v="657"/>
    <x v="0"/>
  </r>
  <r>
    <x v="1081"/>
    <x v="1040"/>
    <x v="38"/>
    <x v="82"/>
    <x v="87"/>
    <x v="0"/>
    <x v="0"/>
    <x v="867"/>
    <x v="1264"/>
    <x v="1254"/>
    <x v="0"/>
  </r>
  <r>
    <x v="1082"/>
    <x v="1041"/>
    <x v="24"/>
    <x v="49"/>
    <x v="51"/>
    <x v="0"/>
    <x v="0"/>
    <x v="0"/>
    <x v="1266"/>
    <x v="657"/>
    <x v="0"/>
  </r>
  <r>
    <x v="1082"/>
    <x v="1041"/>
    <x v="38"/>
    <x v="82"/>
    <x v="87"/>
    <x v="0"/>
    <x v="0"/>
    <x v="837"/>
    <x v="1207"/>
    <x v="1244"/>
    <x v="0"/>
  </r>
  <r>
    <x v="1083"/>
    <x v="1042"/>
    <x v="38"/>
    <x v="82"/>
    <x v="87"/>
    <x v="0"/>
    <x v="0"/>
    <x v="837"/>
    <x v="1207"/>
    <x v="1244"/>
    <x v="0"/>
  </r>
  <r>
    <x v="1083"/>
    <x v="1042"/>
    <x v="24"/>
    <x v="49"/>
    <x v="51"/>
    <x v="0"/>
    <x v="0"/>
    <x v="0"/>
    <x v="1208"/>
    <x v="657"/>
    <x v="0"/>
  </r>
  <r>
    <x v="1084"/>
    <x v="1043"/>
    <x v="24"/>
    <x v="49"/>
    <x v="51"/>
    <x v="0"/>
    <x v="0"/>
    <x v="0"/>
    <x v="1208"/>
    <x v="657"/>
    <x v="0"/>
  </r>
  <r>
    <x v="1084"/>
    <x v="1043"/>
    <x v="38"/>
    <x v="82"/>
    <x v="87"/>
    <x v="0"/>
    <x v="0"/>
    <x v="837"/>
    <x v="1207"/>
    <x v="1244"/>
    <x v="0"/>
  </r>
  <r>
    <x v="1085"/>
    <x v="1044"/>
    <x v="24"/>
    <x v="49"/>
    <x v="51"/>
    <x v="0"/>
    <x v="0"/>
    <x v="0"/>
    <x v="1208"/>
    <x v="657"/>
    <x v="0"/>
  </r>
  <r>
    <x v="1085"/>
    <x v="1044"/>
    <x v="38"/>
    <x v="82"/>
    <x v="87"/>
    <x v="0"/>
    <x v="0"/>
    <x v="837"/>
    <x v="1207"/>
    <x v="1244"/>
    <x v="0"/>
  </r>
  <r>
    <x v="1086"/>
    <x v="1045"/>
    <x v="38"/>
    <x v="82"/>
    <x v="87"/>
    <x v="0"/>
    <x v="0"/>
    <x v="867"/>
    <x v="1264"/>
    <x v="1254"/>
    <x v="0"/>
  </r>
  <r>
    <x v="1086"/>
    <x v="1045"/>
    <x v="24"/>
    <x v="49"/>
    <x v="51"/>
    <x v="0"/>
    <x v="0"/>
    <x v="0"/>
    <x v="1208"/>
    <x v="657"/>
    <x v="0"/>
  </r>
  <r>
    <x v="1087"/>
    <x v="1046"/>
    <x v="24"/>
    <x v="49"/>
    <x v="51"/>
    <x v="0"/>
    <x v="0"/>
    <x v="0"/>
    <x v="1266"/>
    <x v="657"/>
    <x v="0"/>
  </r>
  <r>
    <x v="1087"/>
    <x v="1046"/>
    <x v="38"/>
    <x v="82"/>
    <x v="87"/>
    <x v="0"/>
    <x v="0"/>
    <x v="837"/>
    <x v="1207"/>
    <x v="1244"/>
    <x v="0"/>
  </r>
  <r>
    <x v="1088"/>
    <x v="1047"/>
    <x v="38"/>
    <x v="82"/>
    <x v="87"/>
    <x v="0"/>
    <x v="0"/>
    <x v="837"/>
    <x v="1207"/>
    <x v="1244"/>
    <x v="0"/>
  </r>
  <r>
    <x v="1088"/>
    <x v="1047"/>
    <x v="24"/>
    <x v="49"/>
    <x v="51"/>
    <x v="0"/>
    <x v="0"/>
    <x v="0"/>
    <x v="1208"/>
    <x v="657"/>
    <x v="0"/>
  </r>
  <r>
    <x v="1089"/>
    <x v="1048"/>
    <x v="24"/>
    <x v="49"/>
    <x v="51"/>
    <x v="0"/>
    <x v="0"/>
    <x v="0"/>
    <x v="1208"/>
    <x v="657"/>
    <x v="0"/>
  </r>
  <r>
    <x v="1089"/>
    <x v="1048"/>
    <x v="38"/>
    <x v="82"/>
    <x v="87"/>
    <x v="0"/>
    <x v="0"/>
    <x v="850"/>
    <x v="1232"/>
    <x v="1189"/>
    <x v="0"/>
  </r>
  <r>
    <x v="1090"/>
    <x v="1049"/>
    <x v="38"/>
    <x v="82"/>
    <x v="87"/>
    <x v="0"/>
    <x v="0"/>
    <x v="837"/>
    <x v="1207"/>
    <x v="1244"/>
    <x v="0"/>
  </r>
  <r>
    <x v="1090"/>
    <x v="1049"/>
    <x v="24"/>
    <x v="49"/>
    <x v="51"/>
    <x v="0"/>
    <x v="0"/>
    <x v="0"/>
    <x v="1233"/>
    <x v="657"/>
    <x v="0"/>
  </r>
  <r>
    <x v="1091"/>
    <x v="1050"/>
    <x v="38"/>
    <x v="82"/>
    <x v="87"/>
    <x v="0"/>
    <x v="0"/>
    <x v="944"/>
    <x v="1332"/>
    <x v="1384"/>
    <x v="0"/>
  </r>
  <r>
    <x v="1091"/>
    <x v="1050"/>
    <x v="24"/>
    <x v="49"/>
    <x v="51"/>
    <x v="0"/>
    <x v="0"/>
    <x v="0"/>
    <x v="1208"/>
    <x v="657"/>
    <x v="0"/>
  </r>
  <r>
    <x v="1092"/>
    <x v="1051"/>
    <x v="24"/>
    <x v="49"/>
    <x v="51"/>
    <x v="0"/>
    <x v="0"/>
    <x v="0"/>
    <x v="1333"/>
    <x v="657"/>
    <x v="0"/>
  </r>
  <r>
    <x v="1092"/>
    <x v="1051"/>
    <x v="38"/>
    <x v="82"/>
    <x v="87"/>
    <x v="0"/>
    <x v="0"/>
    <x v="850"/>
    <x v="1232"/>
    <x v="1189"/>
    <x v="0"/>
  </r>
  <r>
    <x v="1093"/>
    <x v="1052"/>
    <x v="38"/>
    <x v="82"/>
    <x v="87"/>
    <x v="0"/>
    <x v="0"/>
    <x v="850"/>
    <x v="1232"/>
    <x v="1189"/>
    <x v="0"/>
  </r>
  <r>
    <x v="1093"/>
    <x v="1052"/>
    <x v="24"/>
    <x v="49"/>
    <x v="51"/>
    <x v="0"/>
    <x v="0"/>
    <x v="0"/>
    <x v="1233"/>
    <x v="657"/>
    <x v="0"/>
  </r>
  <r>
    <x v="1094"/>
    <x v="1053"/>
    <x v="38"/>
    <x v="82"/>
    <x v="87"/>
    <x v="0"/>
    <x v="0"/>
    <x v="850"/>
    <x v="1232"/>
    <x v="1189"/>
    <x v="0"/>
  </r>
  <r>
    <x v="1094"/>
    <x v="1053"/>
    <x v="24"/>
    <x v="49"/>
    <x v="51"/>
    <x v="0"/>
    <x v="0"/>
    <x v="0"/>
    <x v="1233"/>
    <x v="657"/>
    <x v="0"/>
  </r>
  <r>
    <x v="1095"/>
    <x v="1054"/>
    <x v="24"/>
    <x v="49"/>
    <x v="51"/>
    <x v="0"/>
    <x v="0"/>
    <x v="0"/>
    <x v="1233"/>
    <x v="1348"/>
    <x v="0"/>
  </r>
  <r>
    <x v="1095"/>
    <x v="1054"/>
    <x v="38"/>
    <x v="82"/>
    <x v="87"/>
    <x v="0"/>
    <x v="0"/>
    <x v="837"/>
    <x v="1207"/>
    <x v="1347"/>
    <x v="0"/>
  </r>
  <r>
    <x v="1095"/>
    <x v="1054"/>
    <x v="5"/>
    <x v="82"/>
    <x v="87"/>
    <x v="0"/>
    <x v="0"/>
    <x v="0"/>
    <x v="1299"/>
    <x v="1558"/>
    <x v="0"/>
  </r>
  <r>
    <x v="1096"/>
    <x v="1055"/>
    <x v="38"/>
    <x v="82"/>
    <x v="87"/>
    <x v="0"/>
    <x v="0"/>
    <x v="867"/>
    <x v="1264"/>
    <x v="1559"/>
    <x v="0"/>
  </r>
  <r>
    <x v="1097"/>
    <x v="1056"/>
    <x v="38"/>
    <x v="82"/>
    <x v="87"/>
    <x v="0"/>
    <x v="0"/>
    <x v="837"/>
    <x v="1207"/>
    <x v="1560"/>
    <x v="0"/>
  </r>
  <r>
    <x v="1097"/>
    <x v="1057"/>
    <x v="25"/>
    <x v="49"/>
    <x v="51"/>
    <x v="0"/>
    <x v="0"/>
    <x v="945"/>
    <x v="1445"/>
    <x v="1561"/>
    <x v="0"/>
  </r>
  <r>
    <x v="1098"/>
    <x v="1058"/>
    <x v="38"/>
    <x v="82"/>
    <x v="87"/>
    <x v="0"/>
    <x v="0"/>
    <x v="837"/>
    <x v="1207"/>
    <x v="1562"/>
    <x v="0"/>
  </r>
  <r>
    <x v="1099"/>
    <x v="1059"/>
    <x v="38"/>
    <x v="82"/>
    <x v="87"/>
    <x v="0"/>
    <x v="0"/>
    <x v="837"/>
    <x v="1207"/>
    <x v="1563"/>
    <x v="0"/>
  </r>
  <r>
    <x v="1100"/>
    <x v="1060"/>
    <x v="38"/>
    <x v="82"/>
    <x v="87"/>
    <x v="0"/>
    <x v="0"/>
    <x v="837"/>
    <x v="1207"/>
    <x v="1564"/>
    <x v="0"/>
  </r>
  <r>
    <x v="1101"/>
    <x v="1061"/>
    <x v="38"/>
    <x v="82"/>
    <x v="87"/>
    <x v="0"/>
    <x v="0"/>
    <x v="867"/>
    <x v="1264"/>
    <x v="1565"/>
    <x v="0"/>
  </r>
  <r>
    <x v="1102"/>
    <x v="1062"/>
    <x v="38"/>
    <x v="82"/>
    <x v="87"/>
    <x v="0"/>
    <x v="0"/>
    <x v="837"/>
    <x v="1207"/>
    <x v="1566"/>
    <x v="0"/>
  </r>
  <r>
    <x v="1103"/>
    <x v="1063"/>
    <x v="38"/>
    <x v="82"/>
    <x v="87"/>
    <x v="0"/>
    <x v="0"/>
    <x v="837"/>
    <x v="1207"/>
    <x v="1567"/>
    <x v="0"/>
  </r>
  <r>
    <x v="1104"/>
    <x v="1064"/>
    <x v="38"/>
    <x v="82"/>
    <x v="87"/>
    <x v="0"/>
    <x v="0"/>
    <x v="837"/>
    <x v="1207"/>
    <x v="1568"/>
    <x v="0"/>
  </r>
  <r>
    <x v="1105"/>
    <x v="1065"/>
    <x v="38"/>
    <x v="82"/>
    <x v="87"/>
    <x v="0"/>
    <x v="0"/>
    <x v="837"/>
    <x v="1207"/>
    <x v="1569"/>
    <x v="0"/>
  </r>
  <r>
    <x v="1106"/>
    <x v="1066"/>
    <x v="38"/>
    <x v="82"/>
    <x v="87"/>
    <x v="0"/>
    <x v="0"/>
    <x v="946"/>
    <x v="1446"/>
    <x v="1570"/>
    <x v="0"/>
  </r>
  <r>
    <x v="1107"/>
    <x v="1067"/>
    <x v="38"/>
    <x v="82"/>
    <x v="87"/>
    <x v="0"/>
    <x v="0"/>
    <x v="837"/>
    <x v="1207"/>
    <x v="1571"/>
    <x v="0"/>
  </r>
  <r>
    <x v="1108"/>
    <x v="1068"/>
    <x v="38"/>
    <x v="82"/>
    <x v="87"/>
    <x v="0"/>
    <x v="0"/>
    <x v="837"/>
    <x v="1207"/>
    <x v="1572"/>
    <x v="0"/>
  </r>
  <r>
    <x v="1109"/>
    <x v="1069"/>
    <x v="38"/>
    <x v="82"/>
    <x v="87"/>
    <x v="0"/>
    <x v="0"/>
    <x v="867"/>
    <x v="1264"/>
    <x v="1573"/>
    <x v="0"/>
  </r>
  <r>
    <x v="1110"/>
    <x v="1070"/>
    <x v="38"/>
    <x v="82"/>
    <x v="87"/>
    <x v="0"/>
    <x v="0"/>
    <x v="837"/>
    <x v="1207"/>
    <x v="1574"/>
    <x v="0"/>
  </r>
  <r>
    <x v="1111"/>
    <x v="1071"/>
    <x v="38"/>
    <x v="82"/>
    <x v="87"/>
    <x v="0"/>
    <x v="0"/>
    <x v="837"/>
    <x v="1207"/>
    <x v="1575"/>
    <x v="0"/>
  </r>
  <r>
    <x v="1112"/>
    <x v="1072"/>
    <x v="38"/>
    <x v="82"/>
    <x v="87"/>
    <x v="0"/>
    <x v="0"/>
    <x v="837"/>
    <x v="1207"/>
    <x v="1576"/>
    <x v="0"/>
  </r>
  <r>
    <x v="1113"/>
    <x v="1073"/>
    <x v="38"/>
    <x v="82"/>
    <x v="87"/>
    <x v="0"/>
    <x v="0"/>
    <x v="940"/>
    <x v="1437"/>
    <x v="1577"/>
    <x v="0"/>
  </r>
  <r>
    <x v="1114"/>
    <x v="1074"/>
    <x v="38"/>
    <x v="82"/>
    <x v="87"/>
    <x v="0"/>
    <x v="0"/>
    <x v="837"/>
    <x v="1207"/>
    <x v="1578"/>
    <x v="0"/>
  </r>
  <r>
    <x v="1115"/>
    <x v="1075"/>
    <x v="38"/>
    <x v="82"/>
    <x v="87"/>
    <x v="0"/>
    <x v="0"/>
    <x v="837"/>
    <x v="1207"/>
    <x v="1579"/>
    <x v="0"/>
  </r>
  <r>
    <x v="1116"/>
    <x v="1076"/>
    <x v="38"/>
    <x v="82"/>
    <x v="87"/>
    <x v="0"/>
    <x v="0"/>
    <x v="837"/>
    <x v="1207"/>
    <x v="1580"/>
    <x v="0"/>
  </r>
  <r>
    <x v="1117"/>
    <x v="1077"/>
    <x v="38"/>
    <x v="82"/>
    <x v="87"/>
    <x v="0"/>
    <x v="0"/>
    <x v="867"/>
    <x v="1264"/>
    <x v="1581"/>
    <x v="0"/>
  </r>
  <r>
    <x v="1118"/>
    <x v="1078"/>
    <x v="38"/>
    <x v="82"/>
    <x v="87"/>
    <x v="0"/>
    <x v="0"/>
    <x v="837"/>
    <x v="1207"/>
    <x v="1582"/>
    <x v="0"/>
  </r>
  <r>
    <x v="1119"/>
    <x v="1079"/>
    <x v="38"/>
    <x v="82"/>
    <x v="87"/>
    <x v="0"/>
    <x v="0"/>
    <x v="837"/>
    <x v="1207"/>
    <x v="1583"/>
    <x v="0"/>
  </r>
  <r>
    <x v="1120"/>
    <x v="1080"/>
    <x v="38"/>
    <x v="82"/>
    <x v="87"/>
    <x v="0"/>
    <x v="0"/>
    <x v="837"/>
    <x v="1207"/>
    <x v="1584"/>
    <x v="0"/>
  </r>
  <r>
    <x v="1121"/>
    <x v="1081"/>
    <x v="38"/>
    <x v="82"/>
    <x v="87"/>
    <x v="0"/>
    <x v="0"/>
    <x v="837"/>
    <x v="1207"/>
    <x v="1585"/>
    <x v="0"/>
  </r>
  <r>
    <x v="1122"/>
    <x v="1082"/>
    <x v="38"/>
    <x v="82"/>
    <x v="87"/>
    <x v="0"/>
    <x v="0"/>
    <x v="857"/>
    <x v="1245"/>
    <x v="1586"/>
    <x v="0"/>
  </r>
  <r>
    <x v="1123"/>
    <x v="1083"/>
    <x v="38"/>
    <x v="82"/>
    <x v="87"/>
    <x v="0"/>
    <x v="0"/>
    <x v="837"/>
    <x v="1207"/>
    <x v="1587"/>
    <x v="0"/>
  </r>
  <r>
    <x v="1124"/>
    <x v="1084"/>
    <x v="38"/>
    <x v="82"/>
    <x v="87"/>
    <x v="0"/>
    <x v="0"/>
    <x v="947"/>
    <x v="1447"/>
    <x v="1588"/>
    <x v="0"/>
  </r>
  <r>
    <x v="1125"/>
    <x v="1085"/>
    <x v="38"/>
    <x v="82"/>
    <x v="87"/>
    <x v="0"/>
    <x v="0"/>
    <x v="837"/>
    <x v="1207"/>
    <x v="1589"/>
    <x v="0"/>
  </r>
  <r>
    <x v="1126"/>
    <x v="1086"/>
    <x v="38"/>
    <x v="82"/>
    <x v="87"/>
    <x v="0"/>
    <x v="0"/>
    <x v="837"/>
    <x v="1207"/>
    <x v="1590"/>
    <x v="0"/>
  </r>
  <r>
    <x v="1127"/>
    <x v="1087"/>
    <x v="38"/>
    <x v="82"/>
    <x v="87"/>
    <x v="0"/>
    <x v="0"/>
    <x v="837"/>
    <x v="1207"/>
    <x v="1591"/>
    <x v="0"/>
  </r>
  <r>
    <x v="1128"/>
    <x v="1088"/>
    <x v="38"/>
    <x v="82"/>
    <x v="87"/>
    <x v="0"/>
    <x v="0"/>
    <x v="948"/>
    <x v="1448"/>
    <x v="1592"/>
    <x v="0"/>
  </r>
  <r>
    <x v="1129"/>
    <x v="1089"/>
    <x v="38"/>
    <x v="82"/>
    <x v="87"/>
    <x v="0"/>
    <x v="0"/>
    <x v="837"/>
    <x v="1207"/>
    <x v="1593"/>
    <x v="0"/>
  </r>
  <r>
    <x v="1130"/>
    <x v="1090"/>
    <x v="38"/>
    <x v="82"/>
    <x v="87"/>
    <x v="0"/>
    <x v="0"/>
    <x v="837"/>
    <x v="1207"/>
    <x v="1594"/>
    <x v="0"/>
  </r>
  <r>
    <x v="1131"/>
    <x v="1091"/>
    <x v="38"/>
    <x v="82"/>
    <x v="87"/>
    <x v="0"/>
    <x v="0"/>
    <x v="837"/>
    <x v="1207"/>
    <x v="1595"/>
    <x v="0"/>
  </r>
  <r>
    <x v="1132"/>
    <x v="1092"/>
    <x v="38"/>
    <x v="82"/>
    <x v="87"/>
    <x v="0"/>
    <x v="0"/>
    <x v="837"/>
    <x v="1207"/>
    <x v="1596"/>
    <x v="0"/>
  </r>
  <r>
    <x v="1133"/>
    <x v="1093"/>
    <x v="38"/>
    <x v="82"/>
    <x v="87"/>
    <x v="0"/>
    <x v="0"/>
    <x v="867"/>
    <x v="1264"/>
    <x v="1597"/>
    <x v="0"/>
  </r>
  <r>
    <x v="1134"/>
    <x v="1094"/>
    <x v="38"/>
    <x v="82"/>
    <x v="87"/>
    <x v="0"/>
    <x v="0"/>
    <x v="837"/>
    <x v="1207"/>
    <x v="1598"/>
    <x v="0"/>
  </r>
  <r>
    <x v="1135"/>
    <x v="1095"/>
    <x v="38"/>
    <x v="82"/>
    <x v="87"/>
    <x v="0"/>
    <x v="0"/>
    <x v="837"/>
    <x v="1207"/>
    <x v="1599"/>
    <x v="0"/>
  </r>
  <r>
    <x v="1136"/>
    <x v="1096"/>
    <x v="38"/>
    <x v="82"/>
    <x v="87"/>
    <x v="0"/>
    <x v="0"/>
    <x v="837"/>
    <x v="1207"/>
    <x v="1600"/>
    <x v="0"/>
  </r>
  <r>
    <x v="1137"/>
    <x v="1097"/>
    <x v="38"/>
    <x v="82"/>
    <x v="87"/>
    <x v="0"/>
    <x v="0"/>
    <x v="837"/>
    <x v="1207"/>
    <x v="1601"/>
    <x v="0"/>
  </r>
  <r>
    <x v="1138"/>
    <x v="1098"/>
    <x v="38"/>
    <x v="82"/>
    <x v="87"/>
    <x v="0"/>
    <x v="0"/>
    <x v="867"/>
    <x v="1264"/>
    <x v="1602"/>
    <x v="0"/>
  </r>
  <r>
    <x v="1139"/>
    <x v="1099"/>
    <x v="38"/>
    <x v="82"/>
    <x v="87"/>
    <x v="0"/>
    <x v="0"/>
    <x v="837"/>
    <x v="1207"/>
    <x v="1603"/>
    <x v="0"/>
  </r>
  <r>
    <x v="1140"/>
    <x v="1100"/>
    <x v="38"/>
    <x v="82"/>
    <x v="87"/>
    <x v="0"/>
    <x v="0"/>
    <x v="837"/>
    <x v="1207"/>
    <x v="1604"/>
    <x v="0"/>
  </r>
  <r>
    <x v="1141"/>
    <x v="1101"/>
    <x v="38"/>
    <x v="82"/>
    <x v="87"/>
    <x v="0"/>
    <x v="0"/>
    <x v="837"/>
    <x v="1207"/>
    <x v="1605"/>
    <x v="0"/>
  </r>
  <r>
    <x v="1142"/>
    <x v="1102"/>
    <x v="38"/>
    <x v="82"/>
    <x v="87"/>
    <x v="0"/>
    <x v="0"/>
    <x v="829"/>
    <x v="1190"/>
    <x v="1606"/>
    <x v="0"/>
  </r>
  <r>
    <x v="1143"/>
    <x v="1103"/>
    <x v="38"/>
    <x v="82"/>
    <x v="87"/>
    <x v="0"/>
    <x v="0"/>
    <x v="837"/>
    <x v="1207"/>
    <x v="1607"/>
    <x v="0"/>
  </r>
  <r>
    <x v="1144"/>
    <x v="1104"/>
    <x v="38"/>
    <x v="82"/>
    <x v="87"/>
    <x v="0"/>
    <x v="0"/>
    <x v="837"/>
    <x v="1207"/>
    <x v="1608"/>
    <x v="0"/>
  </r>
  <r>
    <x v="1145"/>
    <x v="1105"/>
    <x v="38"/>
    <x v="82"/>
    <x v="87"/>
    <x v="0"/>
    <x v="0"/>
    <x v="837"/>
    <x v="1207"/>
    <x v="1609"/>
    <x v="0"/>
  </r>
  <r>
    <x v="1146"/>
    <x v="1106"/>
    <x v="38"/>
    <x v="82"/>
    <x v="87"/>
    <x v="0"/>
    <x v="0"/>
    <x v="837"/>
    <x v="1207"/>
    <x v="1610"/>
    <x v="0"/>
  </r>
  <r>
    <x v="1147"/>
    <x v="1107"/>
    <x v="38"/>
    <x v="82"/>
    <x v="87"/>
    <x v="0"/>
    <x v="0"/>
    <x v="867"/>
    <x v="1264"/>
    <x v="1611"/>
    <x v="0"/>
  </r>
  <r>
    <x v="1148"/>
    <x v="1108"/>
    <x v="38"/>
    <x v="82"/>
    <x v="87"/>
    <x v="0"/>
    <x v="0"/>
    <x v="837"/>
    <x v="1207"/>
    <x v="1612"/>
    <x v="0"/>
  </r>
  <r>
    <x v="1149"/>
    <x v="1109"/>
    <x v="38"/>
    <x v="82"/>
    <x v="87"/>
    <x v="0"/>
    <x v="0"/>
    <x v="837"/>
    <x v="1207"/>
    <x v="1613"/>
    <x v="0"/>
  </r>
  <r>
    <x v="1150"/>
    <x v="1110"/>
    <x v="38"/>
    <x v="82"/>
    <x v="87"/>
    <x v="0"/>
    <x v="0"/>
    <x v="837"/>
    <x v="1207"/>
    <x v="1614"/>
    <x v="0"/>
  </r>
  <r>
    <x v="1151"/>
    <x v="1111"/>
    <x v="38"/>
    <x v="82"/>
    <x v="87"/>
    <x v="0"/>
    <x v="0"/>
    <x v="850"/>
    <x v="1232"/>
    <x v="1189"/>
    <x v="0"/>
  </r>
  <r>
    <x v="1151"/>
    <x v="1111"/>
    <x v="1"/>
    <x v="82"/>
    <x v="87"/>
    <x v="0"/>
    <x v="0"/>
    <x v="0"/>
    <x v="1449"/>
    <x v="1615"/>
    <x v="0"/>
  </r>
  <r>
    <x v="1151"/>
    <x v="1111"/>
    <x v="24"/>
    <x v="49"/>
    <x v="51"/>
    <x v="0"/>
    <x v="268"/>
    <x v="0"/>
    <x v="1450"/>
    <x v="1616"/>
    <x v="0"/>
  </r>
  <r>
    <x v="1151"/>
    <x v="1109"/>
    <x v="26"/>
    <x v="92"/>
    <x v="98"/>
    <x v="777"/>
    <x v="3"/>
    <x v="949"/>
    <x v="1451"/>
    <x v="657"/>
    <x v="0"/>
  </r>
  <r>
    <x v="1152"/>
    <x v="1112"/>
    <x v="38"/>
    <x v="82"/>
    <x v="87"/>
    <x v="0"/>
    <x v="0"/>
    <x v="859"/>
    <x v="1249"/>
    <x v="1384"/>
    <x v="0"/>
  </r>
  <r>
    <x v="1152"/>
    <x v="1112"/>
    <x v="5"/>
    <x v="82"/>
    <x v="87"/>
    <x v="0"/>
    <x v="0"/>
    <x v="0"/>
    <x v="32"/>
    <x v="1134"/>
    <x v="0"/>
  </r>
  <r>
    <x v="1152"/>
    <x v="1112"/>
    <x v="24"/>
    <x v="49"/>
    <x v="51"/>
    <x v="0"/>
    <x v="0"/>
    <x v="0"/>
    <x v="1233"/>
    <x v="1617"/>
    <x v="0"/>
  </r>
  <r>
    <x v="1152"/>
    <x v="1109"/>
    <x v="27"/>
    <x v="92"/>
    <x v="98"/>
    <x v="777"/>
    <x v="3"/>
    <x v="949"/>
    <x v="0"/>
    <x v="1617"/>
    <x v="3"/>
  </r>
  <r>
    <x v="1153"/>
    <x v="1113"/>
    <x v="23"/>
    <x v="49"/>
    <x v="51"/>
    <x v="0"/>
    <x v="0"/>
    <x v="0"/>
    <x v="1452"/>
    <x v="1618"/>
    <x v="0"/>
  </r>
  <r>
    <x v="1153"/>
    <x v="1113"/>
    <x v="38"/>
    <x v="82"/>
    <x v="87"/>
    <x v="0"/>
    <x v="0"/>
    <x v="850"/>
    <x v="1232"/>
    <x v="1189"/>
    <x v="0"/>
  </r>
  <r>
    <x v="1153"/>
    <x v="1111"/>
    <x v="44"/>
    <x v="85"/>
    <x v="90"/>
    <x v="778"/>
    <x v="26"/>
    <x v="950"/>
    <x v="1453"/>
    <x v="657"/>
    <x v="0"/>
  </r>
  <r>
    <x v="1154"/>
    <x v="1114"/>
    <x v="38"/>
    <x v="82"/>
    <x v="87"/>
    <x v="0"/>
    <x v="0"/>
    <x v="850"/>
    <x v="1232"/>
    <x v="1619"/>
    <x v="0"/>
  </r>
  <r>
    <x v="1154"/>
    <x v="1057"/>
    <x v="25"/>
    <x v="49"/>
    <x v="51"/>
    <x v="0"/>
    <x v="0"/>
    <x v="951"/>
    <x v="1454"/>
    <x v="1620"/>
    <x v="0"/>
  </r>
  <r>
    <x v="1154"/>
    <x v="1114"/>
    <x v="24"/>
    <x v="49"/>
    <x v="51"/>
    <x v="0"/>
    <x v="0"/>
    <x v="0"/>
    <x v="1233"/>
    <x v="657"/>
    <x v="0"/>
  </r>
  <r>
    <x v="1155"/>
    <x v="1115"/>
    <x v="30"/>
    <x v="72"/>
    <x v="73"/>
    <x v="0"/>
    <x v="0"/>
    <x v="513"/>
    <x v="289"/>
    <x v="1621"/>
    <x v="0"/>
  </r>
  <r>
    <x v="1155"/>
    <x v="1115"/>
    <x v="31"/>
    <x v="49"/>
    <x v="51"/>
    <x v="0"/>
    <x v="64"/>
    <x v="513"/>
    <x v="289"/>
    <x v="1621"/>
    <x v="0"/>
  </r>
  <r>
    <x v="1155"/>
    <x v="1109"/>
    <x v="34"/>
    <x v="92"/>
    <x v="63"/>
    <x v="777"/>
    <x v="3"/>
    <x v="949"/>
    <x v="0"/>
    <x v="1621"/>
    <x v="0"/>
  </r>
  <r>
    <x v="1155"/>
    <x v="1109"/>
    <x v="28"/>
    <x v="93"/>
    <x v="63"/>
    <x v="777"/>
    <x v="3"/>
    <x v="0"/>
    <x v="0"/>
    <x v="1621"/>
    <x v="3"/>
  </r>
  <r>
    <x v="1155"/>
    <x v="1115"/>
    <x v="30"/>
    <x v="72"/>
    <x v="73"/>
    <x v="0"/>
    <x v="0"/>
    <x v="0"/>
    <x v="1427"/>
    <x v="1619"/>
    <x v="0"/>
  </r>
  <r>
    <x v="1155"/>
    <x v="1115"/>
    <x v="38"/>
    <x v="82"/>
    <x v="87"/>
    <x v="0"/>
    <x v="0"/>
    <x v="850"/>
    <x v="1232"/>
    <x v="1622"/>
    <x v="0"/>
  </r>
  <r>
    <x v="1155"/>
    <x v="1115"/>
    <x v="4"/>
    <x v="82"/>
    <x v="87"/>
    <x v="0"/>
    <x v="0"/>
    <x v="0"/>
    <x v="1427"/>
    <x v="1619"/>
    <x v="0"/>
  </r>
  <r>
    <x v="1156"/>
    <x v="1116"/>
    <x v="38"/>
    <x v="82"/>
    <x v="87"/>
    <x v="0"/>
    <x v="0"/>
    <x v="850"/>
    <x v="1232"/>
    <x v="1623"/>
    <x v="0"/>
  </r>
  <r>
    <x v="1156"/>
    <x v="1116"/>
    <x v="41"/>
    <x v="81"/>
    <x v="88"/>
    <x v="779"/>
    <x v="230"/>
    <x v="952"/>
    <x v="1455"/>
    <x v="1624"/>
    <x v="150"/>
  </r>
  <r>
    <x v="1156"/>
    <x v="1116"/>
    <x v="3"/>
    <x v="93"/>
    <x v="99"/>
    <x v="780"/>
    <x v="3"/>
    <x v="953"/>
    <x v="1456"/>
    <x v="1625"/>
    <x v="0"/>
  </r>
  <r>
    <x v="1156"/>
    <x v="1116"/>
    <x v="24"/>
    <x v="49"/>
    <x v="51"/>
    <x v="0"/>
    <x v="269"/>
    <x v="0"/>
    <x v="1457"/>
    <x v="1626"/>
    <x v="0"/>
  </r>
  <r>
    <x v="1156"/>
    <x v="1116"/>
    <x v="2"/>
    <x v="51"/>
    <x v="53"/>
    <x v="781"/>
    <x v="270"/>
    <x v="954"/>
    <x v="1458"/>
    <x v="657"/>
    <x v="157"/>
  </r>
  <r>
    <x v="1157"/>
    <x v="1117"/>
    <x v="23"/>
    <x v="49"/>
    <x v="51"/>
    <x v="0"/>
    <x v="0"/>
    <x v="0"/>
    <x v="1459"/>
    <x v="657"/>
    <x v="0"/>
  </r>
  <r>
    <x v="1157"/>
    <x v="1117"/>
    <x v="38"/>
    <x v="82"/>
    <x v="87"/>
    <x v="0"/>
    <x v="0"/>
    <x v="859"/>
    <x v="1249"/>
    <x v="1236"/>
    <x v="0"/>
  </r>
  <r>
    <x v="1158"/>
    <x v="1118"/>
    <x v="24"/>
    <x v="49"/>
    <x v="51"/>
    <x v="0"/>
    <x v="0"/>
    <x v="0"/>
    <x v="1253"/>
    <x v="657"/>
    <x v="0"/>
  </r>
  <r>
    <x v="1158"/>
    <x v="1118"/>
    <x v="38"/>
    <x v="82"/>
    <x v="87"/>
    <x v="0"/>
    <x v="0"/>
    <x v="850"/>
    <x v="1232"/>
    <x v="1189"/>
    <x v="0"/>
  </r>
  <r>
    <x v="1159"/>
    <x v="1119"/>
    <x v="24"/>
    <x v="49"/>
    <x v="51"/>
    <x v="0"/>
    <x v="0"/>
    <x v="0"/>
    <x v="1233"/>
    <x v="657"/>
    <x v="0"/>
  </r>
  <r>
    <x v="1159"/>
    <x v="1119"/>
    <x v="38"/>
    <x v="82"/>
    <x v="87"/>
    <x v="0"/>
    <x v="0"/>
    <x v="850"/>
    <x v="1232"/>
    <x v="1189"/>
    <x v="0"/>
  </r>
  <r>
    <x v="1160"/>
    <x v="1120"/>
    <x v="24"/>
    <x v="49"/>
    <x v="51"/>
    <x v="0"/>
    <x v="0"/>
    <x v="0"/>
    <x v="1233"/>
    <x v="657"/>
    <x v="0"/>
  </r>
  <r>
    <x v="1160"/>
    <x v="1120"/>
    <x v="38"/>
    <x v="82"/>
    <x v="87"/>
    <x v="0"/>
    <x v="0"/>
    <x v="850"/>
    <x v="1232"/>
    <x v="1189"/>
    <x v="0"/>
  </r>
  <r>
    <x v="1161"/>
    <x v="253"/>
    <x v="45"/>
    <x v="1"/>
    <x v="1"/>
    <x v="782"/>
    <x v="271"/>
    <x v="955"/>
    <x v="1460"/>
    <x v="1627"/>
    <x v="15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288">
  <r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1"/>
    <x v="1"/>
    <x v="0"/>
    <x v="1"/>
    <x v="1"/>
    <x v="1"/>
    <x v="0"/>
    <x v="0"/>
    <x v="0"/>
    <x v="0"/>
    <x v="0"/>
    <x v="0"/>
    <x v="0"/>
    <x v="0"/>
    <x v="1"/>
  </r>
  <r>
    <x v="0"/>
    <x v="2"/>
    <x v="2"/>
    <x v="0"/>
    <x v="2"/>
    <x v="2"/>
    <x v="2"/>
    <x v="0"/>
    <x v="0"/>
    <x v="0"/>
    <x v="0"/>
    <x v="0"/>
    <x v="0"/>
    <x v="0"/>
    <x v="0"/>
    <x v="2"/>
  </r>
  <r>
    <x v="0"/>
    <x v="3"/>
    <x v="3"/>
    <x v="0"/>
    <x v="3"/>
    <x v="3"/>
    <x v="3"/>
    <x v="0"/>
    <x v="0"/>
    <x v="0"/>
    <x v="0"/>
    <x v="0"/>
    <x v="0"/>
    <x v="0"/>
    <x v="0"/>
    <x v="3"/>
  </r>
  <r>
    <x v="0"/>
    <x v="2"/>
    <x v="2"/>
    <x v="0"/>
    <x v="2"/>
    <x v="4"/>
    <x v="4"/>
    <x v="0"/>
    <x v="0"/>
    <x v="0"/>
    <x v="0"/>
    <x v="0"/>
    <x v="0"/>
    <x v="0"/>
    <x v="0"/>
    <x v="4"/>
  </r>
  <r>
    <x v="1"/>
    <x v="4"/>
    <x v="4"/>
    <x v="1"/>
    <x v="4"/>
    <x v="5"/>
    <x v="5"/>
    <x v="1"/>
    <x v="1"/>
    <x v="0"/>
    <x v="0"/>
    <x v="0"/>
    <x v="0"/>
    <x v="1"/>
    <x v="1"/>
    <x v="5"/>
  </r>
  <r>
    <x v="1"/>
    <x v="5"/>
    <x v="5"/>
    <x v="2"/>
    <x v="5"/>
    <x v="6"/>
    <x v="6"/>
    <x v="0"/>
    <x v="0"/>
    <x v="0"/>
    <x v="0"/>
    <x v="0"/>
    <x v="0"/>
    <x v="2"/>
    <x v="0"/>
    <x v="6"/>
  </r>
  <r>
    <x v="2"/>
    <x v="5"/>
    <x v="5"/>
    <x v="3"/>
    <x v="5"/>
    <x v="6"/>
    <x v="6"/>
    <x v="0"/>
    <x v="0"/>
    <x v="0"/>
    <x v="0"/>
    <x v="0"/>
    <x v="0"/>
    <x v="3"/>
    <x v="2"/>
    <x v="6"/>
  </r>
  <r>
    <x v="2"/>
    <x v="2"/>
    <x v="2"/>
    <x v="0"/>
    <x v="6"/>
    <x v="7"/>
    <x v="7"/>
    <x v="0"/>
    <x v="0"/>
    <x v="0"/>
    <x v="0"/>
    <x v="0"/>
    <x v="0"/>
    <x v="0"/>
    <x v="2"/>
    <x v="7"/>
  </r>
  <r>
    <x v="2"/>
    <x v="4"/>
    <x v="4"/>
    <x v="4"/>
    <x v="7"/>
    <x v="5"/>
    <x v="8"/>
    <x v="2"/>
    <x v="2"/>
    <x v="1"/>
    <x v="0"/>
    <x v="0"/>
    <x v="0"/>
    <x v="4"/>
    <x v="3"/>
    <x v="6"/>
  </r>
  <r>
    <x v="2"/>
    <x v="5"/>
    <x v="5"/>
    <x v="5"/>
    <x v="5"/>
    <x v="6"/>
    <x v="6"/>
    <x v="0"/>
    <x v="0"/>
    <x v="0"/>
    <x v="0"/>
    <x v="0"/>
    <x v="0"/>
    <x v="5"/>
    <x v="4"/>
    <x v="6"/>
  </r>
  <r>
    <x v="2"/>
    <x v="5"/>
    <x v="5"/>
    <x v="5"/>
    <x v="5"/>
    <x v="6"/>
    <x v="6"/>
    <x v="0"/>
    <x v="0"/>
    <x v="0"/>
    <x v="0"/>
    <x v="0"/>
    <x v="0"/>
    <x v="6"/>
    <x v="5"/>
    <x v="6"/>
  </r>
  <r>
    <x v="2"/>
    <x v="5"/>
    <x v="5"/>
    <x v="6"/>
    <x v="5"/>
    <x v="6"/>
    <x v="6"/>
    <x v="0"/>
    <x v="0"/>
    <x v="0"/>
    <x v="0"/>
    <x v="0"/>
    <x v="0"/>
    <x v="7"/>
    <x v="6"/>
    <x v="6"/>
  </r>
  <r>
    <x v="3"/>
    <x v="6"/>
    <x v="6"/>
    <x v="1"/>
    <x v="8"/>
    <x v="8"/>
    <x v="9"/>
    <x v="3"/>
    <x v="3"/>
    <x v="0"/>
    <x v="1"/>
    <x v="0"/>
    <x v="0"/>
    <x v="8"/>
    <x v="7"/>
    <x v="8"/>
  </r>
  <r>
    <x v="3"/>
    <x v="5"/>
    <x v="5"/>
    <x v="2"/>
    <x v="5"/>
    <x v="6"/>
    <x v="6"/>
    <x v="0"/>
    <x v="0"/>
    <x v="0"/>
    <x v="0"/>
    <x v="0"/>
    <x v="0"/>
    <x v="9"/>
    <x v="6"/>
    <x v="6"/>
  </r>
  <r>
    <x v="4"/>
    <x v="7"/>
    <x v="7"/>
    <x v="7"/>
    <x v="5"/>
    <x v="9"/>
    <x v="6"/>
    <x v="0"/>
    <x v="0"/>
    <x v="0"/>
    <x v="0"/>
    <x v="0"/>
    <x v="0"/>
    <x v="0"/>
    <x v="6"/>
    <x v="9"/>
  </r>
  <r>
    <x v="4"/>
    <x v="6"/>
    <x v="6"/>
    <x v="8"/>
    <x v="9"/>
    <x v="7"/>
    <x v="10"/>
    <x v="4"/>
    <x v="4"/>
    <x v="2"/>
    <x v="2"/>
    <x v="0"/>
    <x v="0"/>
    <x v="10"/>
    <x v="8"/>
    <x v="2"/>
  </r>
  <r>
    <x v="4"/>
    <x v="6"/>
    <x v="6"/>
    <x v="8"/>
    <x v="10"/>
    <x v="7"/>
    <x v="11"/>
    <x v="5"/>
    <x v="5"/>
    <x v="3"/>
    <x v="2"/>
    <x v="0"/>
    <x v="0"/>
    <x v="11"/>
    <x v="9"/>
    <x v="10"/>
  </r>
  <r>
    <x v="4"/>
    <x v="8"/>
    <x v="8"/>
    <x v="1"/>
    <x v="11"/>
    <x v="2"/>
    <x v="12"/>
    <x v="6"/>
    <x v="6"/>
    <x v="0"/>
    <x v="3"/>
    <x v="0"/>
    <x v="0"/>
    <x v="12"/>
    <x v="10"/>
    <x v="2"/>
  </r>
  <r>
    <x v="4"/>
    <x v="8"/>
    <x v="8"/>
    <x v="1"/>
    <x v="11"/>
    <x v="2"/>
    <x v="12"/>
    <x v="6"/>
    <x v="6"/>
    <x v="0"/>
    <x v="3"/>
    <x v="0"/>
    <x v="0"/>
    <x v="12"/>
    <x v="11"/>
    <x v="11"/>
  </r>
  <r>
    <x v="4"/>
    <x v="6"/>
    <x v="6"/>
    <x v="8"/>
    <x v="12"/>
    <x v="7"/>
    <x v="13"/>
    <x v="7"/>
    <x v="7"/>
    <x v="4"/>
    <x v="2"/>
    <x v="0"/>
    <x v="0"/>
    <x v="13"/>
    <x v="12"/>
    <x v="6"/>
  </r>
  <r>
    <x v="4"/>
    <x v="8"/>
    <x v="8"/>
    <x v="1"/>
    <x v="13"/>
    <x v="7"/>
    <x v="14"/>
    <x v="8"/>
    <x v="8"/>
    <x v="0"/>
    <x v="2"/>
    <x v="0"/>
    <x v="0"/>
    <x v="14"/>
    <x v="13"/>
    <x v="12"/>
  </r>
  <r>
    <x v="4"/>
    <x v="5"/>
    <x v="5"/>
    <x v="2"/>
    <x v="5"/>
    <x v="6"/>
    <x v="6"/>
    <x v="0"/>
    <x v="0"/>
    <x v="0"/>
    <x v="0"/>
    <x v="0"/>
    <x v="0"/>
    <x v="15"/>
    <x v="14"/>
    <x v="6"/>
  </r>
  <r>
    <x v="4"/>
    <x v="5"/>
    <x v="5"/>
    <x v="2"/>
    <x v="5"/>
    <x v="6"/>
    <x v="6"/>
    <x v="0"/>
    <x v="0"/>
    <x v="0"/>
    <x v="0"/>
    <x v="0"/>
    <x v="0"/>
    <x v="15"/>
    <x v="15"/>
    <x v="6"/>
  </r>
  <r>
    <x v="4"/>
    <x v="5"/>
    <x v="5"/>
    <x v="2"/>
    <x v="5"/>
    <x v="6"/>
    <x v="6"/>
    <x v="0"/>
    <x v="0"/>
    <x v="0"/>
    <x v="0"/>
    <x v="0"/>
    <x v="0"/>
    <x v="16"/>
    <x v="16"/>
    <x v="6"/>
  </r>
  <r>
    <x v="4"/>
    <x v="5"/>
    <x v="5"/>
    <x v="6"/>
    <x v="5"/>
    <x v="6"/>
    <x v="6"/>
    <x v="0"/>
    <x v="0"/>
    <x v="0"/>
    <x v="0"/>
    <x v="0"/>
    <x v="0"/>
    <x v="17"/>
    <x v="17"/>
    <x v="6"/>
  </r>
  <r>
    <x v="4"/>
    <x v="5"/>
    <x v="5"/>
    <x v="5"/>
    <x v="5"/>
    <x v="6"/>
    <x v="6"/>
    <x v="0"/>
    <x v="0"/>
    <x v="0"/>
    <x v="0"/>
    <x v="0"/>
    <x v="0"/>
    <x v="18"/>
    <x v="18"/>
    <x v="6"/>
  </r>
  <r>
    <x v="4"/>
    <x v="5"/>
    <x v="5"/>
    <x v="5"/>
    <x v="5"/>
    <x v="6"/>
    <x v="6"/>
    <x v="0"/>
    <x v="0"/>
    <x v="0"/>
    <x v="0"/>
    <x v="0"/>
    <x v="0"/>
    <x v="19"/>
    <x v="19"/>
    <x v="6"/>
  </r>
  <r>
    <x v="4"/>
    <x v="5"/>
    <x v="5"/>
    <x v="5"/>
    <x v="5"/>
    <x v="6"/>
    <x v="6"/>
    <x v="0"/>
    <x v="0"/>
    <x v="0"/>
    <x v="0"/>
    <x v="0"/>
    <x v="0"/>
    <x v="20"/>
    <x v="20"/>
    <x v="6"/>
  </r>
  <r>
    <x v="4"/>
    <x v="5"/>
    <x v="5"/>
    <x v="5"/>
    <x v="5"/>
    <x v="6"/>
    <x v="6"/>
    <x v="0"/>
    <x v="0"/>
    <x v="0"/>
    <x v="0"/>
    <x v="0"/>
    <x v="0"/>
    <x v="21"/>
    <x v="6"/>
    <x v="6"/>
  </r>
  <r>
    <x v="5"/>
    <x v="7"/>
    <x v="7"/>
    <x v="9"/>
    <x v="14"/>
    <x v="9"/>
    <x v="15"/>
    <x v="0"/>
    <x v="0"/>
    <x v="0"/>
    <x v="0"/>
    <x v="0"/>
    <x v="0"/>
    <x v="0"/>
    <x v="6"/>
    <x v="6"/>
  </r>
  <r>
    <x v="6"/>
    <x v="8"/>
    <x v="8"/>
    <x v="8"/>
    <x v="15"/>
    <x v="8"/>
    <x v="16"/>
    <x v="9"/>
    <x v="9"/>
    <x v="5"/>
    <x v="1"/>
    <x v="0"/>
    <x v="0"/>
    <x v="22"/>
    <x v="21"/>
    <x v="2"/>
  </r>
  <r>
    <x v="6"/>
    <x v="8"/>
    <x v="8"/>
    <x v="8"/>
    <x v="15"/>
    <x v="7"/>
    <x v="17"/>
    <x v="10"/>
    <x v="10"/>
    <x v="6"/>
    <x v="2"/>
    <x v="0"/>
    <x v="0"/>
    <x v="23"/>
    <x v="22"/>
    <x v="10"/>
  </r>
  <r>
    <x v="6"/>
    <x v="8"/>
    <x v="8"/>
    <x v="1"/>
    <x v="16"/>
    <x v="7"/>
    <x v="18"/>
    <x v="11"/>
    <x v="11"/>
    <x v="0"/>
    <x v="2"/>
    <x v="0"/>
    <x v="0"/>
    <x v="24"/>
    <x v="23"/>
    <x v="2"/>
  </r>
  <r>
    <x v="6"/>
    <x v="8"/>
    <x v="8"/>
    <x v="1"/>
    <x v="17"/>
    <x v="7"/>
    <x v="19"/>
    <x v="12"/>
    <x v="12"/>
    <x v="0"/>
    <x v="2"/>
    <x v="0"/>
    <x v="0"/>
    <x v="25"/>
    <x v="24"/>
    <x v="8"/>
  </r>
  <r>
    <x v="6"/>
    <x v="5"/>
    <x v="5"/>
    <x v="2"/>
    <x v="5"/>
    <x v="6"/>
    <x v="6"/>
    <x v="0"/>
    <x v="0"/>
    <x v="0"/>
    <x v="0"/>
    <x v="0"/>
    <x v="0"/>
    <x v="26"/>
    <x v="25"/>
    <x v="6"/>
  </r>
  <r>
    <x v="6"/>
    <x v="5"/>
    <x v="5"/>
    <x v="2"/>
    <x v="5"/>
    <x v="6"/>
    <x v="6"/>
    <x v="0"/>
    <x v="0"/>
    <x v="0"/>
    <x v="0"/>
    <x v="0"/>
    <x v="0"/>
    <x v="27"/>
    <x v="22"/>
    <x v="6"/>
  </r>
  <r>
    <x v="6"/>
    <x v="5"/>
    <x v="5"/>
    <x v="6"/>
    <x v="5"/>
    <x v="6"/>
    <x v="6"/>
    <x v="0"/>
    <x v="0"/>
    <x v="0"/>
    <x v="0"/>
    <x v="0"/>
    <x v="0"/>
    <x v="28"/>
    <x v="26"/>
    <x v="6"/>
  </r>
  <r>
    <x v="6"/>
    <x v="5"/>
    <x v="5"/>
    <x v="5"/>
    <x v="5"/>
    <x v="6"/>
    <x v="6"/>
    <x v="0"/>
    <x v="0"/>
    <x v="0"/>
    <x v="0"/>
    <x v="0"/>
    <x v="0"/>
    <x v="29"/>
    <x v="27"/>
    <x v="6"/>
  </r>
  <r>
    <x v="6"/>
    <x v="5"/>
    <x v="5"/>
    <x v="6"/>
    <x v="5"/>
    <x v="6"/>
    <x v="6"/>
    <x v="0"/>
    <x v="0"/>
    <x v="0"/>
    <x v="0"/>
    <x v="0"/>
    <x v="0"/>
    <x v="30"/>
    <x v="28"/>
    <x v="6"/>
  </r>
  <r>
    <x v="6"/>
    <x v="5"/>
    <x v="5"/>
    <x v="5"/>
    <x v="5"/>
    <x v="6"/>
    <x v="6"/>
    <x v="0"/>
    <x v="0"/>
    <x v="0"/>
    <x v="0"/>
    <x v="0"/>
    <x v="0"/>
    <x v="31"/>
    <x v="29"/>
    <x v="6"/>
  </r>
  <r>
    <x v="6"/>
    <x v="5"/>
    <x v="5"/>
    <x v="5"/>
    <x v="5"/>
    <x v="6"/>
    <x v="6"/>
    <x v="0"/>
    <x v="0"/>
    <x v="0"/>
    <x v="0"/>
    <x v="0"/>
    <x v="0"/>
    <x v="32"/>
    <x v="30"/>
    <x v="6"/>
  </r>
  <r>
    <x v="6"/>
    <x v="5"/>
    <x v="5"/>
    <x v="6"/>
    <x v="5"/>
    <x v="6"/>
    <x v="6"/>
    <x v="0"/>
    <x v="0"/>
    <x v="0"/>
    <x v="0"/>
    <x v="0"/>
    <x v="0"/>
    <x v="33"/>
    <x v="31"/>
    <x v="6"/>
  </r>
  <r>
    <x v="6"/>
    <x v="5"/>
    <x v="5"/>
    <x v="5"/>
    <x v="5"/>
    <x v="6"/>
    <x v="6"/>
    <x v="0"/>
    <x v="0"/>
    <x v="0"/>
    <x v="0"/>
    <x v="0"/>
    <x v="0"/>
    <x v="34"/>
    <x v="6"/>
    <x v="6"/>
  </r>
  <r>
    <x v="7"/>
    <x v="8"/>
    <x v="8"/>
    <x v="1"/>
    <x v="18"/>
    <x v="2"/>
    <x v="20"/>
    <x v="13"/>
    <x v="13"/>
    <x v="0"/>
    <x v="3"/>
    <x v="0"/>
    <x v="0"/>
    <x v="35"/>
    <x v="32"/>
    <x v="12"/>
  </r>
  <r>
    <x v="7"/>
    <x v="5"/>
    <x v="5"/>
    <x v="2"/>
    <x v="5"/>
    <x v="6"/>
    <x v="6"/>
    <x v="0"/>
    <x v="0"/>
    <x v="0"/>
    <x v="0"/>
    <x v="0"/>
    <x v="0"/>
    <x v="36"/>
    <x v="6"/>
    <x v="6"/>
  </r>
  <r>
    <x v="8"/>
    <x v="1"/>
    <x v="1"/>
    <x v="0"/>
    <x v="19"/>
    <x v="10"/>
    <x v="21"/>
    <x v="0"/>
    <x v="0"/>
    <x v="0"/>
    <x v="0"/>
    <x v="0"/>
    <x v="0"/>
    <x v="0"/>
    <x v="6"/>
    <x v="13"/>
  </r>
  <r>
    <x v="9"/>
    <x v="8"/>
    <x v="8"/>
    <x v="8"/>
    <x v="20"/>
    <x v="11"/>
    <x v="22"/>
    <x v="14"/>
    <x v="14"/>
    <x v="7"/>
    <x v="4"/>
    <x v="0"/>
    <x v="0"/>
    <x v="37"/>
    <x v="33"/>
    <x v="10"/>
  </r>
  <r>
    <x v="9"/>
    <x v="9"/>
    <x v="9"/>
    <x v="1"/>
    <x v="21"/>
    <x v="7"/>
    <x v="23"/>
    <x v="15"/>
    <x v="15"/>
    <x v="0"/>
    <x v="2"/>
    <x v="0"/>
    <x v="0"/>
    <x v="38"/>
    <x v="34"/>
    <x v="10"/>
  </r>
  <r>
    <x v="9"/>
    <x v="8"/>
    <x v="8"/>
    <x v="1"/>
    <x v="22"/>
    <x v="2"/>
    <x v="24"/>
    <x v="16"/>
    <x v="16"/>
    <x v="0"/>
    <x v="3"/>
    <x v="0"/>
    <x v="0"/>
    <x v="39"/>
    <x v="35"/>
    <x v="8"/>
  </r>
  <r>
    <x v="9"/>
    <x v="5"/>
    <x v="5"/>
    <x v="2"/>
    <x v="5"/>
    <x v="6"/>
    <x v="6"/>
    <x v="0"/>
    <x v="0"/>
    <x v="0"/>
    <x v="0"/>
    <x v="0"/>
    <x v="0"/>
    <x v="40"/>
    <x v="34"/>
    <x v="6"/>
  </r>
  <r>
    <x v="9"/>
    <x v="5"/>
    <x v="5"/>
    <x v="2"/>
    <x v="5"/>
    <x v="6"/>
    <x v="6"/>
    <x v="0"/>
    <x v="0"/>
    <x v="0"/>
    <x v="0"/>
    <x v="0"/>
    <x v="0"/>
    <x v="41"/>
    <x v="33"/>
    <x v="6"/>
  </r>
  <r>
    <x v="9"/>
    <x v="5"/>
    <x v="5"/>
    <x v="6"/>
    <x v="5"/>
    <x v="6"/>
    <x v="6"/>
    <x v="0"/>
    <x v="0"/>
    <x v="0"/>
    <x v="0"/>
    <x v="0"/>
    <x v="0"/>
    <x v="42"/>
    <x v="36"/>
    <x v="6"/>
  </r>
  <r>
    <x v="9"/>
    <x v="5"/>
    <x v="5"/>
    <x v="5"/>
    <x v="5"/>
    <x v="6"/>
    <x v="6"/>
    <x v="0"/>
    <x v="0"/>
    <x v="0"/>
    <x v="0"/>
    <x v="0"/>
    <x v="0"/>
    <x v="43"/>
    <x v="37"/>
    <x v="6"/>
  </r>
  <r>
    <x v="9"/>
    <x v="5"/>
    <x v="5"/>
    <x v="6"/>
    <x v="5"/>
    <x v="6"/>
    <x v="6"/>
    <x v="0"/>
    <x v="0"/>
    <x v="0"/>
    <x v="0"/>
    <x v="0"/>
    <x v="0"/>
    <x v="44"/>
    <x v="38"/>
    <x v="6"/>
  </r>
  <r>
    <x v="9"/>
    <x v="5"/>
    <x v="5"/>
    <x v="5"/>
    <x v="5"/>
    <x v="6"/>
    <x v="6"/>
    <x v="0"/>
    <x v="0"/>
    <x v="0"/>
    <x v="0"/>
    <x v="0"/>
    <x v="0"/>
    <x v="24"/>
    <x v="39"/>
    <x v="6"/>
  </r>
  <r>
    <x v="9"/>
    <x v="5"/>
    <x v="5"/>
    <x v="6"/>
    <x v="5"/>
    <x v="6"/>
    <x v="6"/>
    <x v="0"/>
    <x v="0"/>
    <x v="0"/>
    <x v="0"/>
    <x v="0"/>
    <x v="0"/>
    <x v="45"/>
    <x v="40"/>
    <x v="6"/>
  </r>
  <r>
    <x v="9"/>
    <x v="5"/>
    <x v="5"/>
    <x v="5"/>
    <x v="5"/>
    <x v="6"/>
    <x v="6"/>
    <x v="0"/>
    <x v="0"/>
    <x v="0"/>
    <x v="0"/>
    <x v="0"/>
    <x v="0"/>
    <x v="25"/>
    <x v="41"/>
    <x v="6"/>
  </r>
  <r>
    <x v="9"/>
    <x v="5"/>
    <x v="5"/>
    <x v="6"/>
    <x v="5"/>
    <x v="6"/>
    <x v="6"/>
    <x v="0"/>
    <x v="0"/>
    <x v="0"/>
    <x v="0"/>
    <x v="0"/>
    <x v="0"/>
    <x v="46"/>
    <x v="42"/>
    <x v="6"/>
  </r>
  <r>
    <x v="9"/>
    <x v="5"/>
    <x v="5"/>
    <x v="5"/>
    <x v="5"/>
    <x v="6"/>
    <x v="6"/>
    <x v="0"/>
    <x v="0"/>
    <x v="0"/>
    <x v="0"/>
    <x v="0"/>
    <x v="0"/>
    <x v="47"/>
    <x v="6"/>
    <x v="6"/>
  </r>
  <r>
    <x v="10"/>
    <x v="8"/>
    <x v="8"/>
    <x v="1"/>
    <x v="23"/>
    <x v="8"/>
    <x v="25"/>
    <x v="17"/>
    <x v="17"/>
    <x v="0"/>
    <x v="1"/>
    <x v="0"/>
    <x v="0"/>
    <x v="48"/>
    <x v="43"/>
    <x v="14"/>
  </r>
  <r>
    <x v="10"/>
    <x v="9"/>
    <x v="9"/>
    <x v="8"/>
    <x v="24"/>
    <x v="7"/>
    <x v="26"/>
    <x v="18"/>
    <x v="18"/>
    <x v="8"/>
    <x v="2"/>
    <x v="0"/>
    <x v="0"/>
    <x v="49"/>
    <x v="44"/>
    <x v="6"/>
  </r>
  <r>
    <x v="10"/>
    <x v="8"/>
    <x v="8"/>
    <x v="8"/>
    <x v="25"/>
    <x v="7"/>
    <x v="27"/>
    <x v="19"/>
    <x v="19"/>
    <x v="9"/>
    <x v="2"/>
    <x v="0"/>
    <x v="0"/>
    <x v="50"/>
    <x v="45"/>
    <x v="12"/>
  </r>
  <r>
    <x v="10"/>
    <x v="5"/>
    <x v="5"/>
    <x v="2"/>
    <x v="5"/>
    <x v="6"/>
    <x v="6"/>
    <x v="0"/>
    <x v="0"/>
    <x v="0"/>
    <x v="0"/>
    <x v="0"/>
    <x v="0"/>
    <x v="51"/>
    <x v="46"/>
    <x v="6"/>
  </r>
  <r>
    <x v="10"/>
    <x v="5"/>
    <x v="5"/>
    <x v="6"/>
    <x v="5"/>
    <x v="6"/>
    <x v="6"/>
    <x v="0"/>
    <x v="0"/>
    <x v="0"/>
    <x v="0"/>
    <x v="0"/>
    <x v="0"/>
    <x v="52"/>
    <x v="47"/>
    <x v="6"/>
  </r>
  <r>
    <x v="10"/>
    <x v="5"/>
    <x v="5"/>
    <x v="5"/>
    <x v="5"/>
    <x v="6"/>
    <x v="6"/>
    <x v="0"/>
    <x v="0"/>
    <x v="0"/>
    <x v="0"/>
    <x v="0"/>
    <x v="0"/>
    <x v="53"/>
    <x v="48"/>
    <x v="6"/>
  </r>
  <r>
    <x v="10"/>
    <x v="5"/>
    <x v="5"/>
    <x v="6"/>
    <x v="5"/>
    <x v="6"/>
    <x v="6"/>
    <x v="0"/>
    <x v="0"/>
    <x v="0"/>
    <x v="0"/>
    <x v="0"/>
    <x v="0"/>
    <x v="54"/>
    <x v="49"/>
    <x v="6"/>
  </r>
  <r>
    <x v="10"/>
    <x v="5"/>
    <x v="5"/>
    <x v="5"/>
    <x v="5"/>
    <x v="6"/>
    <x v="6"/>
    <x v="0"/>
    <x v="0"/>
    <x v="0"/>
    <x v="0"/>
    <x v="0"/>
    <x v="0"/>
    <x v="55"/>
    <x v="50"/>
    <x v="6"/>
  </r>
  <r>
    <x v="10"/>
    <x v="5"/>
    <x v="5"/>
    <x v="5"/>
    <x v="5"/>
    <x v="6"/>
    <x v="6"/>
    <x v="0"/>
    <x v="0"/>
    <x v="0"/>
    <x v="0"/>
    <x v="0"/>
    <x v="0"/>
    <x v="56"/>
    <x v="51"/>
    <x v="6"/>
  </r>
  <r>
    <x v="10"/>
    <x v="5"/>
    <x v="5"/>
    <x v="6"/>
    <x v="5"/>
    <x v="6"/>
    <x v="6"/>
    <x v="0"/>
    <x v="0"/>
    <x v="0"/>
    <x v="0"/>
    <x v="0"/>
    <x v="0"/>
    <x v="57"/>
    <x v="52"/>
    <x v="6"/>
  </r>
  <r>
    <x v="10"/>
    <x v="5"/>
    <x v="5"/>
    <x v="5"/>
    <x v="5"/>
    <x v="6"/>
    <x v="6"/>
    <x v="0"/>
    <x v="0"/>
    <x v="0"/>
    <x v="0"/>
    <x v="0"/>
    <x v="0"/>
    <x v="58"/>
    <x v="6"/>
    <x v="6"/>
  </r>
  <r>
    <x v="11"/>
    <x v="8"/>
    <x v="8"/>
    <x v="4"/>
    <x v="26"/>
    <x v="8"/>
    <x v="28"/>
    <x v="20"/>
    <x v="20"/>
    <x v="10"/>
    <x v="1"/>
    <x v="0"/>
    <x v="0"/>
    <x v="59"/>
    <x v="53"/>
    <x v="2"/>
  </r>
  <r>
    <x v="11"/>
    <x v="5"/>
    <x v="5"/>
    <x v="5"/>
    <x v="5"/>
    <x v="6"/>
    <x v="6"/>
    <x v="0"/>
    <x v="0"/>
    <x v="0"/>
    <x v="0"/>
    <x v="0"/>
    <x v="0"/>
    <x v="60"/>
    <x v="54"/>
    <x v="6"/>
  </r>
  <r>
    <x v="11"/>
    <x v="5"/>
    <x v="5"/>
    <x v="6"/>
    <x v="5"/>
    <x v="6"/>
    <x v="6"/>
    <x v="0"/>
    <x v="0"/>
    <x v="0"/>
    <x v="0"/>
    <x v="0"/>
    <x v="0"/>
    <x v="61"/>
    <x v="55"/>
    <x v="6"/>
  </r>
  <r>
    <x v="11"/>
    <x v="5"/>
    <x v="5"/>
    <x v="5"/>
    <x v="5"/>
    <x v="6"/>
    <x v="6"/>
    <x v="0"/>
    <x v="0"/>
    <x v="0"/>
    <x v="0"/>
    <x v="0"/>
    <x v="0"/>
    <x v="62"/>
    <x v="56"/>
    <x v="6"/>
  </r>
  <r>
    <x v="11"/>
    <x v="5"/>
    <x v="5"/>
    <x v="6"/>
    <x v="5"/>
    <x v="6"/>
    <x v="6"/>
    <x v="0"/>
    <x v="0"/>
    <x v="0"/>
    <x v="0"/>
    <x v="0"/>
    <x v="0"/>
    <x v="63"/>
    <x v="57"/>
    <x v="6"/>
  </r>
  <r>
    <x v="12"/>
    <x v="9"/>
    <x v="9"/>
    <x v="1"/>
    <x v="27"/>
    <x v="7"/>
    <x v="29"/>
    <x v="21"/>
    <x v="21"/>
    <x v="0"/>
    <x v="2"/>
    <x v="0"/>
    <x v="0"/>
    <x v="64"/>
    <x v="58"/>
    <x v="10"/>
  </r>
  <r>
    <x v="12"/>
    <x v="8"/>
    <x v="8"/>
    <x v="1"/>
    <x v="28"/>
    <x v="7"/>
    <x v="8"/>
    <x v="22"/>
    <x v="1"/>
    <x v="0"/>
    <x v="2"/>
    <x v="0"/>
    <x v="0"/>
    <x v="65"/>
    <x v="59"/>
    <x v="8"/>
  </r>
  <r>
    <x v="12"/>
    <x v="5"/>
    <x v="5"/>
    <x v="2"/>
    <x v="5"/>
    <x v="6"/>
    <x v="6"/>
    <x v="0"/>
    <x v="0"/>
    <x v="0"/>
    <x v="0"/>
    <x v="0"/>
    <x v="0"/>
    <x v="66"/>
    <x v="58"/>
    <x v="6"/>
  </r>
  <r>
    <x v="12"/>
    <x v="5"/>
    <x v="5"/>
    <x v="2"/>
    <x v="5"/>
    <x v="6"/>
    <x v="6"/>
    <x v="0"/>
    <x v="0"/>
    <x v="0"/>
    <x v="0"/>
    <x v="0"/>
    <x v="0"/>
    <x v="67"/>
    <x v="57"/>
    <x v="6"/>
  </r>
  <r>
    <x v="13"/>
    <x v="8"/>
    <x v="8"/>
    <x v="1"/>
    <x v="29"/>
    <x v="2"/>
    <x v="30"/>
    <x v="23"/>
    <x v="22"/>
    <x v="0"/>
    <x v="3"/>
    <x v="0"/>
    <x v="0"/>
    <x v="68"/>
    <x v="60"/>
    <x v="12"/>
  </r>
  <r>
    <x v="13"/>
    <x v="8"/>
    <x v="8"/>
    <x v="8"/>
    <x v="30"/>
    <x v="7"/>
    <x v="31"/>
    <x v="24"/>
    <x v="23"/>
    <x v="11"/>
    <x v="2"/>
    <x v="0"/>
    <x v="0"/>
    <x v="69"/>
    <x v="61"/>
    <x v="11"/>
  </r>
  <r>
    <x v="13"/>
    <x v="8"/>
    <x v="8"/>
    <x v="1"/>
    <x v="31"/>
    <x v="7"/>
    <x v="32"/>
    <x v="25"/>
    <x v="24"/>
    <x v="0"/>
    <x v="2"/>
    <x v="0"/>
    <x v="0"/>
    <x v="70"/>
    <x v="62"/>
    <x v="12"/>
  </r>
  <r>
    <x v="13"/>
    <x v="5"/>
    <x v="5"/>
    <x v="2"/>
    <x v="5"/>
    <x v="6"/>
    <x v="6"/>
    <x v="0"/>
    <x v="0"/>
    <x v="0"/>
    <x v="0"/>
    <x v="0"/>
    <x v="0"/>
    <x v="71"/>
    <x v="63"/>
    <x v="6"/>
  </r>
  <r>
    <x v="13"/>
    <x v="5"/>
    <x v="5"/>
    <x v="2"/>
    <x v="5"/>
    <x v="6"/>
    <x v="6"/>
    <x v="0"/>
    <x v="0"/>
    <x v="0"/>
    <x v="0"/>
    <x v="0"/>
    <x v="0"/>
    <x v="72"/>
    <x v="64"/>
    <x v="6"/>
  </r>
  <r>
    <x v="13"/>
    <x v="5"/>
    <x v="5"/>
    <x v="6"/>
    <x v="5"/>
    <x v="6"/>
    <x v="6"/>
    <x v="0"/>
    <x v="0"/>
    <x v="0"/>
    <x v="0"/>
    <x v="0"/>
    <x v="0"/>
    <x v="73"/>
    <x v="65"/>
    <x v="6"/>
  </r>
  <r>
    <x v="13"/>
    <x v="5"/>
    <x v="5"/>
    <x v="5"/>
    <x v="5"/>
    <x v="6"/>
    <x v="6"/>
    <x v="0"/>
    <x v="0"/>
    <x v="0"/>
    <x v="0"/>
    <x v="0"/>
    <x v="0"/>
    <x v="74"/>
    <x v="57"/>
    <x v="6"/>
  </r>
  <r>
    <x v="14"/>
    <x v="9"/>
    <x v="9"/>
    <x v="8"/>
    <x v="21"/>
    <x v="7"/>
    <x v="23"/>
    <x v="15"/>
    <x v="15"/>
    <x v="12"/>
    <x v="2"/>
    <x v="0"/>
    <x v="0"/>
    <x v="75"/>
    <x v="66"/>
    <x v="6"/>
  </r>
  <r>
    <x v="14"/>
    <x v="5"/>
    <x v="5"/>
    <x v="6"/>
    <x v="5"/>
    <x v="6"/>
    <x v="6"/>
    <x v="0"/>
    <x v="0"/>
    <x v="0"/>
    <x v="0"/>
    <x v="0"/>
    <x v="0"/>
    <x v="76"/>
    <x v="67"/>
    <x v="6"/>
  </r>
  <r>
    <x v="14"/>
    <x v="5"/>
    <x v="5"/>
    <x v="5"/>
    <x v="5"/>
    <x v="6"/>
    <x v="6"/>
    <x v="0"/>
    <x v="0"/>
    <x v="0"/>
    <x v="0"/>
    <x v="0"/>
    <x v="0"/>
    <x v="77"/>
    <x v="68"/>
    <x v="6"/>
  </r>
  <r>
    <x v="14"/>
    <x v="5"/>
    <x v="5"/>
    <x v="6"/>
    <x v="5"/>
    <x v="6"/>
    <x v="6"/>
    <x v="0"/>
    <x v="0"/>
    <x v="0"/>
    <x v="0"/>
    <x v="0"/>
    <x v="0"/>
    <x v="78"/>
    <x v="69"/>
    <x v="6"/>
  </r>
  <r>
    <x v="14"/>
    <x v="5"/>
    <x v="5"/>
    <x v="5"/>
    <x v="5"/>
    <x v="6"/>
    <x v="6"/>
    <x v="0"/>
    <x v="0"/>
    <x v="0"/>
    <x v="0"/>
    <x v="0"/>
    <x v="0"/>
    <x v="79"/>
    <x v="57"/>
    <x v="6"/>
  </r>
  <r>
    <x v="15"/>
    <x v="2"/>
    <x v="2"/>
    <x v="4"/>
    <x v="32"/>
    <x v="7"/>
    <x v="33"/>
    <x v="26"/>
    <x v="25"/>
    <x v="13"/>
    <x v="2"/>
    <x v="0"/>
    <x v="0"/>
    <x v="80"/>
    <x v="70"/>
    <x v="4"/>
  </r>
  <r>
    <x v="15"/>
    <x v="5"/>
    <x v="5"/>
    <x v="6"/>
    <x v="5"/>
    <x v="6"/>
    <x v="6"/>
    <x v="0"/>
    <x v="0"/>
    <x v="0"/>
    <x v="0"/>
    <x v="0"/>
    <x v="0"/>
    <x v="81"/>
    <x v="71"/>
    <x v="6"/>
  </r>
  <r>
    <x v="15"/>
    <x v="5"/>
    <x v="5"/>
    <x v="5"/>
    <x v="5"/>
    <x v="6"/>
    <x v="6"/>
    <x v="0"/>
    <x v="0"/>
    <x v="0"/>
    <x v="0"/>
    <x v="0"/>
    <x v="0"/>
    <x v="82"/>
    <x v="72"/>
    <x v="6"/>
  </r>
  <r>
    <x v="15"/>
    <x v="5"/>
    <x v="5"/>
    <x v="6"/>
    <x v="5"/>
    <x v="6"/>
    <x v="6"/>
    <x v="0"/>
    <x v="0"/>
    <x v="0"/>
    <x v="0"/>
    <x v="0"/>
    <x v="0"/>
    <x v="83"/>
    <x v="73"/>
    <x v="6"/>
  </r>
  <r>
    <x v="15"/>
    <x v="5"/>
    <x v="5"/>
    <x v="5"/>
    <x v="5"/>
    <x v="6"/>
    <x v="6"/>
    <x v="0"/>
    <x v="0"/>
    <x v="0"/>
    <x v="0"/>
    <x v="0"/>
    <x v="0"/>
    <x v="65"/>
    <x v="74"/>
    <x v="6"/>
  </r>
  <r>
    <x v="15"/>
    <x v="5"/>
    <x v="5"/>
    <x v="6"/>
    <x v="5"/>
    <x v="6"/>
    <x v="6"/>
    <x v="0"/>
    <x v="0"/>
    <x v="0"/>
    <x v="0"/>
    <x v="0"/>
    <x v="0"/>
    <x v="84"/>
    <x v="75"/>
    <x v="6"/>
  </r>
  <r>
    <x v="15"/>
    <x v="5"/>
    <x v="5"/>
    <x v="5"/>
    <x v="5"/>
    <x v="6"/>
    <x v="6"/>
    <x v="0"/>
    <x v="0"/>
    <x v="0"/>
    <x v="0"/>
    <x v="0"/>
    <x v="0"/>
    <x v="85"/>
    <x v="76"/>
    <x v="6"/>
  </r>
  <r>
    <x v="16"/>
    <x v="8"/>
    <x v="8"/>
    <x v="8"/>
    <x v="22"/>
    <x v="8"/>
    <x v="34"/>
    <x v="27"/>
    <x v="26"/>
    <x v="14"/>
    <x v="1"/>
    <x v="0"/>
    <x v="0"/>
    <x v="86"/>
    <x v="77"/>
    <x v="2"/>
  </r>
  <r>
    <x v="16"/>
    <x v="2"/>
    <x v="2"/>
    <x v="4"/>
    <x v="33"/>
    <x v="12"/>
    <x v="35"/>
    <x v="24"/>
    <x v="27"/>
    <x v="15"/>
    <x v="5"/>
    <x v="0"/>
    <x v="0"/>
    <x v="87"/>
    <x v="78"/>
    <x v="8"/>
  </r>
  <r>
    <x v="16"/>
    <x v="5"/>
    <x v="5"/>
    <x v="6"/>
    <x v="5"/>
    <x v="6"/>
    <x v="6"/>
    <x v="0"/>
    <x v="0"/>
    <x v="0"/>
    <x v="0"/>
    <x v="0"/>
    <x v="0"/>
    <x v="88"/>
    <x v="79"/>
    <x v="6"/>
  </r>
  <r>
    <x v="16"/>
    <x v="5"/>
    <x v="5"/>
    <x v="5"/>
    <x v="5"/>
    <x v="6"/>
    <x v="6"/>
    <x v="0"/>
    <x v="0"/>
    <x v="0"/>
    <x v="0"/>
    <x v="0"/>
    <x v="0"/>
    <x v="89"/>
    <x v="80"/>
    <x v="6"/>
  </r>
  <r>
    <x v="16"/>
    <x v="5"/>
    <x v="5"/>
    <x v="6"/>
    <x v="5"/>
    <x v="6"/>
    <x v="6"/>
    <x v="0"/>
    <x v="0"/>
    <x v="0"/>
    <x v="0"/>
    <x v="0"/>
    <x v="0"/>
    <x v="90"/>
    <x v="81"/>
    <x v="6"/>
  </r>
  <r>
    <x v="16"/>
    <x v="5"/>
    <x v="5"/>
    <x v="5"/>
    <x v="5"/>
    <x v="6"/>
    <x v="6"/>
    <x v="0"/>
    <x v="0"/>
    <x v="0"/>
    <x v="0"/>
    <x v="0"/>
    <x v="0"/>
    <x v="70"/>
    <x v="82"/>
    <x v="6"/>
  </r>
  <r>
    <x v="17"/>
    <x v="0"/>
    <x v="0"/>
    <x v="4"/>
    <x v="34"/>
    <x v="0"/>
    <x v="36"/>
    <x v="28"/>
    <x v="28"/>
    <x v="16"/>
    <x v="0"/>
    <x v="0"/>
    <x v="0"/>
    <x v="91"/>
    <x v="83"/>
    <x v="6"/>
  </r>
  <r>
    <x v="18"/>
    <x v="3"/>
    <x v="3"/>
    <x v="4"/>
    <x v="35"/>
    <x v="3"/>
    <x v="37"/>
    <x v="2"/>
    <x v="29"/>
    <x v="17"/>
    <x v="6"/>
    <x v="0"/>
    <x v="0"/>
    <x v="92"/>
    <x v="84"/>
    <x v="6"/>
  </r>
  <r>
    <x v="18"/>
    <x v="8"/>
    <x v="8"/>
    <x v="10"/>
    <x v="36"/>
    <x v="2"/>
    <x v="38"/>
    <x v="29"/>
    <x v="30"/>
    <x v="0"/>
    <x v="3"/>
    <x v="0"/>
    <x v="0"/>
    <x v="93"/>
    <x v="85"/>
    <x v="11"/>
  </r>
  <r>
    <x v="18"/>
    <x v="8"/>
    <x v="8"/>
    <x v="4"/>
    <x v="37"/>
    <x v="2"/>
    <x v="39"/>
    <x v="30"/>
    <x v="31"/>
    <x v="18"/>
    <x v="3"/>
    <x v="0"/>
    <x v="0"/>
    <x v="94"/>
    <x v="86"/>
    <x v="2"/>
  </r>
  <r>
    <x v="19"/>
    <x v="2"/>
    <x v="2"/>
    <x v="10"/>
    <x v="38"/>
    <x v="5"/>
    <x v="40"/>
    <x v="2"/>
    <x v="32"/>
    <x v="0"/>
    <x v="7"/>
    <x v="0"/>
    <x v="0"/>
    <x v="95"/>
    <x v="87"/>
    <x v="15"/>
  </r>
  <r>
    <x v="19"/>
    <x v="2"/>
    <x v="2"/>
    <x v="4"/>
    <x v="39"/>
    <x v="7"/>
    <x v="41"/>
    <x v="31"/>
    <x v="33"/>
    <x v="19"/>
    <x v="2"/>
    <x v="0"/>
    <x v="0"/>
    <x v="96"/>
    <x v="88"/>
    <x v="16"/>
  </r>
  <r>
    <x v="20"/>
    <x v="10"/>
    <x v="10"/>
    <x v="10"/>
    <x v="40"/>
    <x v="13"/>
    <x v="42"/>
    <x v="0"/>
    <x v="0"/>
    <x v="0"/>
    <x v="0"/>
    <x v="0"/>
    <x v="0"/>
    <x v="97"/>
    <x v="89"/>
    <x v="17"/>
  </r>
  <r>
    <x v="21"/>
    <x v="2"/>
    <x v="2"/>
    <x v="10"/>
    <x v="41"/>
    <x v="5"/>
    <x v="43"/>
    <x v="2"/>
    <x v="32"/>
    <x v="0"/>
    <x v="7"/>
    <x v="0"/>
    <x v="0"/>
    <x v="98"/>
    <x v="90"/>
    <x v="8"/>
  </r>
  <r>
    <x v="22"/>
    <x v="10"/>
    <x v="10"/>
    <x v="10"/>
    <x v="42"/>
    <x v="14"/>
    <x v="44"/>
    <x v="0"/>
    <x v="0"/>
    <x v="0"/>
    <x v="0"/>
    <x v="0"/>
    <x v="0"/>
    <x v="99"/>
    <x v="91"/>
    <x v="18"/>
  </r>
  <r>
    <x v="22"/>
    <x v="1"/>
    <x v="1"/>
    <x v="9"/>
    <x v="43"/>
    <x v="15"/>
    <x v="45"/>
    <x v="0"/>
    <x v="0"/>
    <x v="0"/>
    <x v="0"/>
    <x v="0"/>
    <x v="0"/>
    <x v="0"/>
    <x v="91"/>
    <x v="6"/>
  </r>
  <r>
    <x v="23"/>
    <x v="10"/>
    <x v="10"/>
    <x v="9"/>
    <x v="44"/>
    <x v="16"/>
    <x v="46"/>
    <x v="0"/>
    <x v="0"/>
    <x v="0"/>
    <x v="0"/>
    <x v="0"/>
    <x v="0"/>
    <x v="0"/>
    <x v="91"/>
    <x v="6"/>
  </r>
  <r>
    <x v="24"/>
    <x v="10"/>
    <x v="10"/>
    <x v="11"/>
    <x v="5"/>
    <x v="6"/>
    <x v="47"/>
    <x v="0"/>
    <x v="0"/>
    <x v="0"/>
    <x v="0"/>
    <x v="0"/>
    <x v="0"/>
    <x v="100"/>
    <x v="92"/>
    <x v="6"/>
  </r>
  <r>
    <x v="25"/>
    <x v="2"/>
    <x v="2"/>
    <x v="1"/>
    <x v="45"/>
    <x v="7"/>
    <x v="48"/>
    <x v="32"/>
    <x v="34"/>
    <x v="0"/>
    <x v="2"/>
    <x v="0"/>
    <x v="0"/>
    <x v="101"/>
    <x v="93"/>
    <x v="11"/>
  </r>
  <r>
    <x v="25"/>
    <x v="2"/>
    <x v="2"/>
    <x v="1"/>
    <x v="46"/>
    <x v="7"/>
    <x v="49"/>
    <x v="33"/>
    <x v="35"/>
    <x v="0"/>
    <x v="2"/>
    <x v="0"/>
    <x v="0"/>
    <x v="102"/>
    <x v="94"/>
    <x v="12"/>
  </r>
  <r>
    <x v="25"/>
    <x v="2"/>
    <x v="2"/>
    <x v="4"/>
    <x v="47"/>
    <x v="8"/>
    <x v="50"/>
    <x v="34"/>
    <x v="36"/>
    <x v="20"/>
    <x v="1"/>
    <x v="0"/>
    <x v="0"/>
    <x v="103"/>
    <x v="95"/>
    <x v="2"/>
  </r>
  <r>
    <x v="25"/>
    <x v="2"/>
    <x v="2"/>
    <x v="10"/>
    <x v="48"/>
    <x v="5"/>
    <x v="51"/>
    <x v="2"/>
    <x v="37"/>
    <x v="0"/>
    <x v="7"/>
    <x v="0"/>
    <x v="0"/>
    <x v="104"/>
    <x v="96"/>
    <x v="16"/>
  </r>
  <r>
    <x v="25"/>
    <x v="2"/>
    <x v="2"/>
    <x v="10"/>
    <x v="49"/>
    <x v="5"/>
    <x v="52"/>
    <x v="2"/>
    <x v="38"/>
    <x v="0"/>
    <x v="7"/>
    <x v="0"/>
    <x v="0"/>
    <x v="105"/>
    <x v="97"/>
    <x v="8"/>
  </r>
  <r>
    <x v="25"/>
    <x v="4"/>
    <x v="4"/>
    <x v="1"/>
    <x v="50"/>
    <x v="7"/>
    <x v="53"/>
    <x v="35"/>
    <x v="39"/>
    <x v="0"/>
    <x v="0"/>
    <x v="0"/>
    <x v="0"/>
    <x v="106"/>
    <x v="98"/>
    <x v="10"/>
  </r>
  <r>
    <x v="25"/>
    <x v="5"/>
    <x v="5"/>
    <x v="2"/>
    <x v="5"/>
    <x v="6"/>
    <x v="6"/>
    <x v="0"/>
    <x v="0"/>
    <x v="0"/>
    <x v="0"/>
    <x v="0"/>
    <x v="0"/>
    <x v="107"/>
    <x v="97"/>
    <x v="6"/>
  </r>
  <r>
    <x v="25"/>
    <x v="5"/>
    <x v="5"/>
    <x v="2"/>
    <x v="5"/>
    <x v="6"/>
    <x v="6"/>
    <x v="0"/>
    <x v="0"/>
    <x v="0"/>
    <x v="0"/>
    <x v="0"/>
    <x v="0"/>
    <x v="108"/>
    <x v="99"/>
    <x v="6"/>
  </r>
  <r>
    <x v="25"/>
    <x v="5"/>
    <x v="5"/>
    <x v="2"/>
    <x v="5"/>
    <x v="6"/>
    <x v="6"/>
    <x v="0"/>
    <x v="0"/>
    <x v="0"/>
    <x v="0"/>
    <x v="0"/>
    <x v="0"/>
    <x v="109"/>
    <x v="100"/>
    <x v="6"/>
  </r>
  <r>
    <x v="25"/>
    <x v="5"/>
    <x v="5"/>
    <x v="5"/>
    <x v="5"/>
    <x v="6"/>
    <x v="6"/>
    <x v="0"/>
    <x v="0"/>
    <x v="0"/>
    <x v="0"/>
    <x v="0"/>
    <x v="0"/>
    <x v="101"/>
    <x v="101"/>
    <x v="6"/>
  </r>
  <r>
    <x v="25"/>
    <x v="5"/>
    <x v="5"/>
    <x v="5"/>
    <x v="5"/>
    <x v="6"/>
    <x v="6"/>
    <x v="0"/>
    <x v="0"/>
    <x v="0"/>
    <x v="0"/>
    <x v="0"/>
    <x v="0"/>
    <x v="102"/>
    <x v="97"/>
    <x v="6"/>
  </r>
  <r>
    <x v="26"/>
    <x v="4"/>
    <x v="4"/>
    <x v="8"/>
    <x v="51"/>
    <x v="7"/>
    <x v="54"/>
    <x v="36"/>
    <x v="40"/>
    <x v="21"/>
    <x v="0"/>
    <x v="0"/>
    <x v="0"/>
    <x v="110"/>
    <x v="102"/>
    <x v="6"/>
  </r>
  <r>
    <x v="26"/>
    <x v="5"/>
    <x v="5"/>
    <x v="6"/>
    <x v="5"/>
    <x v="6"/>
    <x v="6"/>
    <x v="0"/>
    <x v="0"/>
    <x v="0"/>
    <x v="0"/>
    <x v="0"/>
    <x v="0"/>
    <x v="111"/>
    <x v="103"/>
    <x v="6"/>
  </r>
  <r>
    <x v="26"/>
    <x v="5"/>
    <x v="5"/>
    <x v="5"/>
    <x v="5"/>
    <x v="6"/>
    <x v="6"/>
    <x v="0"/>
    <x v="0"/>
    <x v="0"/>
    <x v="0"/>
    <x v="0"/>
    <x v="0"/>
    <x v="106"/>
    <x v="104"/>
    <x v="6"/>
  </r>
  <r>
    <x v="27"/>
    <x v="5"/>
    <x v="5"/>
    <x v="12"/>
    <x v="5"/>
    <x v="6"/>
    <x v="6"/>
    <x v="0"/>
    <x v="0"/>
    <x v="0"/>
    <x v="0"/>
    <x v="0"/>
    <x v="0"/>
    <x v="112"/>
    <x v="105"/>
    <x v="6"/>
  </r>
  <r>
    <x v="27"/>
    <x v="5"/>
    <x v="5"/>
    <x v="3"/>
    <x v="5"/>
    <x v="6"/>
    <x v="6"/>
    <x v="0"/>
    <x v="0"/>
    <x v="0"/>
    <x v="0"/>
    <x v="0"/>
    <x v="0"/>
    <x v="113"/>
    <x v="106"/>
    <x v="6"/>
  </r>
  <r>
    <x v="27"/>
    <x v="5"/>
    <x v="5"/>
    <x v="13"/>
    <x v="5"/>
    <x v="6"/>
    <x v="6"/>
    <x v="0"/>
    <x v="0"/>
    <x v="0"/>
    <x v="0"/>
    <x v="0"/>
    <x v="0"/>
    <x v="114"/>
    <x v="107"/>
    <x v="6"/>
  </r>
  <r>
    <x v="28"/>
    <x v="11"/>
    <x v="11"/>
    <x v="1"/>
    <x v="52"/>
    <x v="7"/>
    <x v="55"/>
    <x v="37"/>
    <x v="41"/>
    <x v="0"/>
    <x v="2"/>
    <x v="0"/>
    <x v="0"/>
    <x v="115"/>
    <x v="108"/>
    <x v="10"/>
  </r>
  <r>
    <x v="28"/>
    <x v="5"/>
    <x v="5"/>
    <x v="2"/>
    <x v="5"/>
    <x v="6"/>
    <x v="6"/>
    <x v="0"/>
    <x v="0"/>
    <x v="0"/>
    <x v="0"/>
    <x v="0"/>
    <x v="0"/>
    <x v="116"/>
    <x v="107"/>
    <x v="6"/>
  </r>
  <r>
    <x v="29"/>
    <x v="11"/>
    <x v="11"/>
    <x v="8"/>
    <x v="53"/>
    <x v="7"/>
    <x v="56"/>
    <x v="38"/>
    <x v="42"/>
    <x v="22"/>
    <x v="2"/>
    <x v="0"/>
    <x v="0"/>
    <x v="117"/>
    <x v="109"/>
    <x v="6"/>
  </r>
  <r>
    <x v="29"/>
    <x v="5"/>
    <x v="5"/>
    <x v="5"/>
    <x v="5"/>
    <x v="6"/>
    <x v="6"/>
    <x v="0"/>
    <x v="0"/>
    <x v="0"/>
    <x v="0"/>
    <x v="0"/>
    <x v="0"/>
    <x v="118"/>
    <x v="110"/>
    <x v="6"/>
  </r>
  <r>
    <x v="29"/>
    <x v="5"/>
    <x v="5"/>
    <x v="6"/>
    <x v="5"/>
    <x v="6"/>
    <x v="6"/>
    <x v="0"/>
    <x v="0"/>
    <x v="0"/>
    <x v="0"/>
    <x v="0"/>
    <x v="0"/>
    <x v="119"/>
    <x v="111"/>
    <x v="6"/>
  </r>
  <r>
    <x v="29"/>
    <x v="5"/>
    <x v="5"/>
    <x v="5"/>
    <x v="5"/>
    <x v="6"/>
    <x v="6"/>
    <x v="0"/>
    <x v="0"/>
    <x v="0"/>
    <x v="0"/>
    <x v="0"/>
    <x v="0"/>
    <x v="120"/>
    <x v="112"/>
    <x v="6"/>
  </r>
  <r>
    <x v="30"/>
    <x v="6"/>
    <x v="6"/>
    <x v="1"/>
    <x v="54"/>
    <x v="5"/>
    <x v="57"/>
    <x v="39"/>
    <x v="43"/>
    <x v="0"/>
    <x v="7"/>
    <x v="0"/>
    <x v="0"/>
    <x v="121"/>
    <x v="113"/>
    <x v="5"/>
  </r>
  <r>
    <x v="30"/>
    <x v="6"/>
    <x v="6"/>
    <x v="1"/>
    <x v="55"/>
    <x v="5"/>
    <x v="58"/>
    <x v="40"/>
    <x v="44"/>
    <x v="0"/>
    <x v="7"/>
    <x v="0"/>
    <x v="0"/>
    <x v="122"/>
    <x v="114"/>
    <x v="10"/>
  </r>
  <r>
    <x v="30"/>
    <x v="5"/>
    <x v="5"/>
    <x v="2"/>
    <x v="5"/>
    <x v="6"/>
    <x v="6"/>
    <x v="0"/>
    <x v="0"/>
    <x v="0"/>
    <x v="0"/>
    <x v="0"/>
    <x v="0"/>
    <x v="123"/>
    <x v="115"/>
    <x v="6"/>
  </r>
  <r>
    <x v="30"/>
    <x v="5"/>
    <x v="5"/>
    <x v="2"/>
    <x v="5"/>
    <x v="6"/>
    <x v="6"/>
    <x v="0"/>
    <x v="0"/>
    <x v="0"/>
    <x v="0"/>
    <x v="0"/>
    <x v="0"/>
    <x v="124"/>
    <x v="112"/>
    <x v="6"/>
  </r>
  <r>
    <x v="31"/>
    <x v="5"/>
    <x v="5"/>
    <x v="3"/>
    <x v="5"/>
    <x v="6"/>
    <x v="6"/>
    <x v="0"/>
    <x v="0"/>
    <x v="0"/>
    <x v="0"/>
    <x v="0"/>
    <x v="0"/>
    <x v="125"/>
    <x v="116"/>
    <x v="6"/>
  </r>
  <r>
    <x v="32"/>
    <x v="1"/>
    <x v="1"/>
    <x v="0"/>
    <x v="56"/>
    <x v="17"/>
    <x v="59"/>
    <x v="0"/>
    <x v="0"/>
    <x v="0"/>
    <x v="0"/>
    <x v="0"/>
    <x v="0"/>
    <x v="0"/>
    <x v="116"/>
    <x v="19"/>
  </r>
  <r>
    <x v="32"/>
    <x v="4"/>
    <x v="4"/>
    <x v="10"/>
    <x v="57"/>
    <x v="7"/>
    <x v="60"/>
    <x v="41"/>
    <x v="45"/>
    <x v="0"/>
    <x v="0"/>
    <x v="0"/>
    <x v="0"/>
    <x v="126"/>
    <x v="117"/>
    <x v="10"/>
  </r>
  <r>
    <x v="32"/>
    <x v="8"/>
    <x v="8"/>
    <x v="4"/>
    <x v="58"/>
    <x v="2"/>
    <x v="61"/>
    <x v="22"/>
    <x v="46"/>
    <x v="23"/>
    <x v="3"/>
    <x v="0"/>
    <x v="0"/>
    <x v="127"/>
    <x v="118"/>
    <x v="6"/>
  </r>
  <r>
    <x v="32"/>
    <x v="6"/>
    <x v="6"/>
    <x v="10"/>
    <x v="59"/>
    <x v="12"/>
    <x v="62"/>
    <x v="42"/>
    <x v="47"/>
    <x v="0"/>
    <x v="5"/>
    <x v="0"/>
    <x v="0"/>
    <x v="128"/>
    <x v="119"/>
    <x v="20"/>
  </r>
  <r>
    <x v="32"/>
    <x v="5"/>
    <x v="5"/>
    <x v="6"/>
    <x v="5"/>
    <x v="6"/>
    <x v="6"/>
    <x v="0"/>
    <x v="0"/>
    <x v="0"/>
    <x v="0"/>
    <x v="0"/>
    <x v="0"/>
    <x v="129"/>
    <x v="120"/>
    <x v="6"/>
  </r>
  <r>
    <x v="32"/>
    <x v="5"/>
    <x v="5"/>
    <x v="5"/>
    <x v="5"/>
    <x v="6"/>
    <x v="6"/>
    <x v="0"/>
    <x v="0"/>
    <x v="0"/>
    <x v="0"/>
    <x v="0"/>
    <x v="0"/>
    <x v="130"/>
    <x v="121"/>
    <x v="6"/>
  </r>
  <r>
    <x v="32"/>
    <x v="5"/>
    <x v="5"/>
    <x v="5"/>
    <x v="5"/>
    <x v="6"/>
    <x v="6"/>
    <x v="0"/>
    <x v="0"/>
    <x v="0"/>
    <x v="0"/>
    <x v="0"/>
    <x v="0"/>
    <x v="129"/>
    <x v="122"/>
    <x v="6"/>
  </r>
  <r>
    <x v="32"/>
    <x v="5"/>
    <x v="5"/>
    <x v="6"/>
    <x v="5"/>
    <x v="6"/>
    <x v="6"/>
    <x v="0"/>
    <x v="0"/>
    <x v="0"/>
    <x v="0"/>
    <x v="0"/>
    <x v="0"/>
    <x v="131"/>
    <x v="123"/>
    <x v="6"/>
  </r>
  <r>
    <x v="32"/>
    <x v="5"/>
    <x v="5"/>
    <x v="5"/>
    <x v="5"/>
    <x v="6"/>
    <x v="6"/>
    <x v="0"/>
    <x v="0"/>
    <x v="0"/>
    <x v="0"/>
    <x v="0"/>
    <x v="0"/>
    <x v="132"/>
    <x v="124"/>
    <x v="6"/>
  </r>
  <r>
    <x v="33"/>
    <x v="6"/>
    <x v="6"/>
    <x v="8"/>
    <x v="60"/>
    <x v="12"/>
    <x v="63"/>
    <x v="43"/>
    <x v="48"/>
    <x v="24"/>
    <x v="5"/>
    <x v="0"/>
    <x v="0"/>
    <x v="133"/>
    <x v="125"/>
    <x v="10"/>
  </r>
  <r>
    <x v="33"/>
    <x v="4"/>
    <x v="4"/>
    <x v="4"/>
    <x v="61"/>
    <x v="7"/>
    <x v="64"/>
    <x v="44"/>
    <x v="49"/>
    <x v="25"/>
    <x v="0"/>
    <x v="0"/>
    <x v="0"/>
    <x v="134"/>
    <x v="126"/>
    <x v="6"/>
  </r>
  <r>
    <x v="33"/>
    <x v="5"/>
    <x v="5"/>
    <x v="6"/>
    <x v="5"/>
    <x v="6"/>
    <x v="6"/>
    <x v="0"/>
    <x v="0"/>
    <x v="0"/>
    <x v="0"/>
    <x v="0"/>
    <x v="0"/>
    <x v="135"/>
    <x v="127"/>
    <x v="6"/>
  </r>
  <r>
    <x v="33"/>
    <x v="5"/>
    <x v="5"/>
    <x v="5"/>
    <x v="5"/>
    <x v="6"/>
    <x v="6"/>
    <x v="0"/>
    <x v="0"/>
    <x v="0"/>
    <x v="0"/>
    <x v="0"/>
    <x v="0"/>
    <x v="136"/>
    <x v="128"/>
    <x v="6"/>
  </r>
  <r>
    <x v="33"/>
    <x v="5"/>
    <x v="5"/>
    <x v="6"/>
    <x v="5"/>
    <x v="6"/>
    <x v="6"/>
    <x v="0"/>
    <x v="0"/>
    <x v="0"/>
    <x v="0"/>
    <x v="0"/>
    <x v="0"/>
    <x v="137"/>
    <x v="129"/>
    <x v="6"/>
  </r>
  <r>
    <x v="33"/>
    <x v="5"/>
    <x v="5"/>
    <x v="5"/>
    <x v="5"/>
    <x v="6"/>
    <x v="6"/>
    <x v="0"/>
    <x v="0"/>
    <x v="0"/>
    <x v="0"/>
    <x v="0"/>
    <x v="0"/>
    <x v="122"/>
    <x v="130"/>
    <x v="6"/>
  </r>
  <r>
    <x v="34"/>
    <x v="4"/>
    <x v="4"/>
    <x v="10"/>
    <x v="62"/>
    <x v="7"/>
    <x v="65"/>
    <x v="45"/>
    <x v="50"/>
    <x v="0"/>
    <x v="0"/>
    <x v="0"/>
    <x v="0"/>
    <x v="138"/>
    <x v="131"/>
    <x v="10"/>
  </r>
  <r>
    <x v="35"/>
    <x v="4"/>
    <x v="4"/>
    <x v="4"/>
    <x v="63"/>
    <x v="7"/>
    <x v="66"/>
    <x v="46"/>
    <x v="51"/>
    <x v="26"/>
    <x v="0"/>
    <x v="0"/>
    <x v="0"/>
    <x v="139"/>
    <x v="132"/>
    <x v="6"/>
  </r>
  <r>
    <x v="36"/>
    <x v="4"/>
    <x v="4"/>
    <x v="10"/>
    <x v="64"/>
    <x v="7"/>
    <x v="67"/>
    <x v="47"/>
    <x v="52"/>
    <x v="0"/>
    <x v="0"/>
    <x v="0"/>
    <x v="0"/>
    <x v="140"/>
    <x v="133"/>
    <x v="10"/>
  </r>
  <r>
    <x v="37"/>
    <x v="12"/>
    <x v="12"/>
    <x v="1"/>
    <x v="65"/>
    <x v="7"/>
    <x v="68"/>
    <x v="48"/>
    <x v="53"/>
    <x v="0"/>
    <x v="2"/>
    <x v="0"/>
    <x v="0"/>
    <x v="141"/>
    <x v="134"/>
    <x v="10"/>
  </r>
  <r>
    <x v="37"/>
    <x v="5"/>
    <x v="5"/>
    <x v="2"/>
    <x v="5"/>
    <x v="6"/>
    <x v="6"/>
    <x v="0"/>
    <x v="0"/>
    <x v="0"/>
    <x v="0"/>
    <x v="0"/>
    <x v="0"/>
    <x v="142"/>
    <x v="133"/>
    <x v="6"/>
  </r>
  <r>
    <x v="38"/>
    <x v="5"/>
    <x v="5"/>
    <x v="3"/>
    <x v="5"/>
    <x v="6"/>
    <x v="6"/>
    <x v="0"/>
    <x v="0"/>
    <x v="0"/>
    <x v="0"/>
    <x v="0"/>
    <x v="0"/>
    <x v="143"/>
    <x v="135"/>
    <x v="6"/>
  </r>
  <r>
    <x v="38"/>
    <x v="5"/>
    <x v="5"/>
    <x v="6"/>
    <x v="5"/>
    <x v="6"/>
    <x v="6"/>
    <x v="0"/>
    <x v="0"/>
    <x v="0"/>
    <x v="0"/>
    <x v="0"/>
    <x v="0"/>
    <x v="144"/>
    <x v="136"/>
    <x v="6"/>
  </r>
  <r>
    <x v="38"/>
    <x v="5"/>
    <x v="5"/>
    <x v="5"/>
    <x v="5"/>
    <x v="6"/>
    <x v="6"/>
    <x v="0"/>
    <x v="0"/>
    <x v="0"/>
    <x v="0"/>
    <x v="0"/>
    <x v="0"/>
    <x v="141"/>
    <x v="137"/>
    <x v="6"/>
  </r>
  <r>
    <x v="39"/>
    <x v="11"/>
    <x v="11"/>
    <x v="1"/>
    <x v="66"/>
    <x v="7"/>
    <x v="69"/>
    <x v="49"/>
    <x v="54"/>
    <x v="0"/>
    <x v="2"/>
    <x v="0"/>
    <x v="0"/>
    <x v="145"/>
    <x v="138"/>
    <x v="10"/>
  </r>
  <r>
    <x v="39"/>
    <x v="5"/>
    <x v="5"/>
    <x v="2"/>
    <x v="5"/>
    <x v="6"/>
    <x v="6"/>
    <x v="0"/>
    <x v="0"/>
    <x v="0"/>
    <x v="0"/>
    <x v="0"/>
    <x v="0"/>
    <x v="146"/>
    <x v="137"/>
    <x v="6"/>
  </r>
  <r>
    <x v="40"/>
    <x v="13"/>
    <x v="13"/>
    <x v="1"/>
    <x v="67"/>
    <x v="7"/>
    <x v="70"/>
    <x v="50"/>
    <x v="55"/>
    <x v="0"/>
    <x v="2"/>
    <x v="0"/>
    <x v="0"/>
    <x v="147"/>
    <x v="139"/>
    <x v="10"/>
  </r>
  <r>
    <x v="40"/>
    <x v="5"/>
    <x v="5"/>
    <x v="2"/>
    <x v="5"/>
    <x v="6"/>
    <x v="6"/>
    <x v="0"/>
    <x v="0"/>
    <x v="0"/>
    <x v="0"/>
    <x v="0"/>
    <x v="0"/>
    <x v="148"/>
    <x v="137"/>
    <x v="6"/>
  </r>
  <r>
    <x v="41"/>
    <x v="13"/>
    <x v="13"/>
    <x v="8"/>
    <x v="68"/>
    <x v="7"/>
    <x v="71"/>
    <x v="51"/>
    <x v="56"/>
    <x v="27"/>
    <x v="2"/>
    <x v="0"/>
    <x v="0"/>
    <x v="149"/>
    <x v="140"/>
    <x v="6"/>
  </r>
  <r>
    <x v="41"/>
    <x v="5"/>
    <x v="5"/>
    <x v="6"/>
    <x v="5"/>
    <x v="6"/>
    <x v="6"/>
    <x v="0"/>
    <x v="0"/>
    <x v="0"/>
    <x v="0"/>
    <x v="0"/>
    <x v="0"/>
    <x v="150"/>
    <x v="141"/>
    <x v="6"/>
  </r>
  <r>
    <x v="41"/>
    <x v="5"/>
    <x v="5"/>
    <x v="5"/>
    <x v="5"/>
    <x v="6"/>
    <x v="6"/>
    <x v="0"/>
    <x v="0"/>
    <x v="0"/>
    <x v="0"/>
    <x v="0"/>
    <x v="0"/>
    <x v="145"/>
    <x v="142"/>
    <x v="6"/>
  </r>
  <r>
    <x v="41"/>
    <x v="5"/>
    <x v="5"/>
    <x v="6"/>
    <x v="5"/>
    <x v="6"/>
    <x v="6"/>
    <x v="0"/>
    <x v="0"/>
    <x v="0"/>
    <x v="0"/>
    <x v="0"/>
    <x v="0"/>
    <x v="151"/>
    <x v="143"/>
    <x v="6"/>
  </r>
  <r>
    <x v="41"/>
    <x v="5"/>
    <x v="5"/>
    <x v="5"/>
    <x v="5"/>
    <x v="6"/>
    <x v="6"/>
    <x v="0"/>
    <x v="0"/>
    <x v="0"/>
    <x v="0"/>
    <x v="0"/>
    <x v="0"/>
    <x v="152"/>
    <x v="137"/>
    <x v="6"/>
  </r>
  <r>
    <x v="42"/>
    <x v="11"/>
    <x v="11"/>
    <x v="8"/>
    <x v="69"/>
    <x v="7"/>
    <x v="72"/>
    <x v="52"/>
    <x v="57"/>
    <x v="28"/>
    <x v="2"/>
    <x v="0"/>
    <x v="0"/>
    <x v="153"/>
    <x v="144"/>
    <x v="6"/>
  </r>
  <r>
    <x v="42"/>
    <x v="4"/>
    <x v="4"/>
    <x v="8"/>
    <x v="70"/>
    <x v="7"/>
    <x v="73"/>
    <x v="53"/>
    <x v="58"/>
    <x v="29"/>
    <x v="0"/>
    <x v="0"/>
    <x v="0"/>
    <x v="154"/>
    <x v="145"/>
    <x v="6"/>
  </r>
  <r>
    <x v="42"/>
    <x v="5"/>
    <x v="5"/>
    <x v="6"/>
    <x v="5"/>
    <x v="6"/>
    <x v="6"/>
    <x v="0"/>
    <x v="0"/>
    <x v="0"/>
    <x v="0"/>
    <x v="0"/>
    <x v="0"/>
    <x v="155"/>
    <x v="146"/>
    <x v="6"/>
  </r>
  <r>
    <x v="42"/>
    <x v="5"/>
    <x v="5"/>
    <x v="5"/>
    <x v="5"/>
    <x v="6"/>
    <x v="6"/>
    <x v="0"/>
    <x v="0"/>
    <x v="0"/>
    <x v="0"/>
    <x v="0"/>
    <x v="0"/>
    <x v="156"/>
    <x v="147"/>
    <x v="6"/>
  </r>
  <r>
    <x v="42"/>
    <x v="5"/>
    <x v="5"/>
    <x v="5"/>
    <x v="5"/>
    <x v="6"/>
    <x v="6"/>
    <x v="0"/>
    <x v="0"/>
    <x v="0"/>
    <x v="0"/>
    <x v="0"/>
    <x v="0"/>
    <x v="157"/>
    <x v="148"/>
    <x v="6"/>
  </r>
  <r>
    <x v="43"/>
    <x v="14"/>
    <x v="14"/>
    <x v="10"/>
    <x v="71"/>
    <x v="7"/>
    <x v="74"/>
    <x v="2"/>
    <x v="59"/>
    <x v="0"/>
    <x v="2"/>
    <x v="0"/>
    <x v="0"/>
    <x v="158"/>
    <x v="149"/>
    <x v="10"/>
  </r>
  <r>
    <x v="44"/>
    <x v="6"/>
    <x v="6"/>
    <x v="4"/>
    <x v="72"/>
    <x v="12"/>
    <x v="75"/>
    <x v="54"/>
    <x v="60"/>
    <x v="30"/>
    <x v="5"/>
    <x v="0"/>
    <x v="0"/>
    <x v="159"/>
    <x v="150"/>
    <x v="17"/>
  </r>
  <r>
    <x v="44"/>
    <x v="2"/>
    <x v="2"/>
    <x v="10"/>
    <x v="12"/>
    <x v="7"/>
    <x v="13"/>
    <x v="55"/>
    <x v="61"/>
    <x v="0"/>
    <x v="2"/>
    <x v="0"/>
    <x v="0"/>
    <x v="160"/>
    <x v="151"/>
    <x v="11"/>
  </r>
  <r>
    <x v="44"/>
    <x v="2"/>
    <x v="2"/>
    <x v="4"/>
    <x v="73"/>
    <x v="7"/>
    <x v="76"/>
    <x v="56"/>
    <x v="62"/>
    <x v="31"/>
    <x v="2"/>
    <x v="0"/>
    <x v="0"/>
    <x v="161"/>
    <x v="152"/>
    <x v="8"/>
  </r>
  <r>
    <x v="44"/>
    <x v="2"/>
    <x v="2"/>
    <x v="10"/>
    <x v="74"/>
    <x v="5"/>
    <x v="77"/>
    <x v="2"/>
    <x v="63"/>
    <x v="0"/>
    <x v="7"/>
    <x v="0"/>
    <x v="0"/>
    <x v="162"/>
    <x v="153"/>
    <x v="15"/>
  </r>
  <r>
    <x v="44"/>
    <x v="2"/>
    <x v="2"/>
    <x v="4"/>
    <x v="75"/>
    <x v="5"/>
    <x v="78"/>
    <x v="2"/>
    <x v="63"/>
    <x v="32"/>
    <x v="7"/>
    <x v="0"/>
    <x v="0"/>
    <x v="163"/>
    <x v="154"/>
    <x v="8"/>
  </r>
  <r>
    <x v="44"/>
    <x v="2"/>
    <x v="2"/>
    <x v="10"/>
    <x v="76"/>
    <x v="5"/>
    <x v="79"/>
    <x v="2"/>
    <x v="63"/>
    <x v="0"/>
    <x v="7"/>
    <x v="0"/>
    <x v="0"/>
    <x v="164"/>
    <x v="155"/>
    <x v="15"/>
  </r>
  <r>
    <x v="44"/>
    <x v="6"/>
    <x v="6"/>
    <x v="10"/>
    <x v="77"/>
    <x v="16"/>
    <x v="80"/>
    <x v="2"/>
    <x v="64"/>
    <x v="0"/>
    <x v="8"/>
    <x v="0"/>
    <x v="0"/>
    <x v="165"/>
    <x v="156"/>
    <x v="21"/>
  </r>
  <r>
    <x v="45"/>
    <x v="2"/>
    <x v="2"/>
    <x v="4"/>
    <x v="78"/>
    <x v="5"/>
    <x v="81"/>
    <x v="2"/>
    <x v="65"/>
    <x v="33"/>
    <x v="7"/>
    <x v="0"/>
    <x v="0"/>
    <x v="166"/>
    <x v="157"/>
    <x v="8"/>
  </r>
  <r>
    <x v="45"/>
    <x v="2"/>
    <x v="2"/>
    <x v="10"/>
    <x v="79"/>
    <x v="5"/>
    <x v="82"/>
    <x v="2"/>
    <x v="66"/>
    <x v="0"/>
    <x v="7"/>
    <x v="0"/>
    <x v="0"/>
    <x v="167"/>
    <x v="158"/>
    <x v="15"/>
  </r>
  <r>
    <x v="45"/>
    <x v="6"/>
    <x v="6"/>
    <x v="10"/>
    <x v="80"/>
    <x v="5"/>
    <x v="83"/>
    <x v="57"/>
    <x v="67"/>
    <x v="0"/>
    <x v="7"/>
    <x v="0"/>
    <x v="0"/>
    <x v="168"/>
    <x v="159"/>
    <x v="22"/>
  </r>
  <r>
    <x v="46"/>
    <x v="15"/>
    <x v="15"/>
    <x v="1"/>
    <x v="81"/>
    <x v="18"/>
    <x v="84"/>
    <x v="58"/>
    <x v="68"/>
    <x v="0"/>
    <x v="0"/>
    <x v="0"/>
    <x v="0"/>
    <x v="169"/>
    <x v="160"/>
    <x v="12"/>
  </r>
  <r>
    <x v="46"/>
    <x v="2"/>
    <x v="2"/>
    <x v="4"/>
    <x v="82"/>
    <x v="5"/>
    <x v="85"/>
    <x v="2"/>
    <x v="65"/>
    <x v="34"/>
    <x v="7"/>
    <x v="0"/>
    <x v="0"/>
    <x v="170"/>
    <x v="161"/>
    <x v="8"/>
  </r>
  <r>
    <x v="46"/>
    <x v="6"/>
    <x v="6"/>
    <x v="10"/>
    <x v="83"/>
    <x v="19"/>
    <x v="86"/>
    <x v="45"/>
    <x v="2"/>
    <x v="0"/>
    <x v="9"/>
    <x v="0"/>
    <x v="0"/>
    <x v="171"/>
    <x v="162"/>
    <x v="23"/>
  </r>
  <r>
    <x v="46"/>
    <x v="5"/>
    <x v="5"/>
    <x v="2"/>
    <x v="5"/>
    <x v="6"/>
    <x v="6"/>
    <x v="0"/>
    <x v="0"/>
    <x v="0"/>
    <x v="0"/>
    <x v="0"/>
    <x v="0"/>
    <x v="172"/>
    <x v="163"/>
    <x v="6"/>
  </r>
  <r>
    <x v="47"/>
    <x v="2"/>
    <x v="2"/>
    <x v="8"/>
    <x v="84"/>
    <x v="5"/>
    <x v="87"/>
    <x v="59"/>
    <x v="69"/>
    <x v="35"/>
    <x v="7"/>
    <x v="0"/>
    <x v="0"/>
    <x v="173"/>
    <x v="164"/>
    <x v="16"/>
  </r>
  <r>
    <x v="47"/>
    <x v="2"/>
    <x v="2"/>
    <x v="4"/>
    <x v="85"/>
    <x v="5"/>
    <x v="88"/>
    <x v="60"/>
    <x v="64"/>
    <x v="36"/>
    <x v="7"/>
    <x v="0"/>
    <x v="0"/>
    <x v="174"/>
    <x v="165"/>
    <x v="2"/>
  </r>
  <r>
    <x v="47"/>
    <x v="5"/>
    <x v="5"/>
    <x v="6"/>
    <x v="5"/>
    <x v="6"/>
    <x v="6"/>
    <x v="0"/>
    <x v="0"/>
    <x v="0"/>
    <x v="0"/>
    <x v="0"/>
    <x v="0"/>
    <x v="175"/>
    <x v="166"/>
    <x v="6"/>
  </r>
  <r>
    <x v="47"/>
    <x v="5"/>
    <x v="5"/>
    <x v="5"/>
    <x v="5"/>
    <x v="6"/>
    <x v="6"/>
    <x v="0"/>
    <x v="0"/>
    <x v="0"/>
    <x v="0"/>
    <x v="0"/>
    <x v="0"/>
    <x v="176"/>
    <x v="167"/>
    <x v="6"/>
  </r>
  <r>
    <x v="48"/>
    <x v="2"/>
    <x v="2"/>
    <x v="4"/>
    <x v="86"/>
    <x v="5"/>
    <x v="89"/>
    <x v="61"/>
    <x v="70"/>
    <x v="37"/>
    <x v="7"/>
    <x v="0"/>
    <x v="0"/>
    <x v="177"/>
    <x v="168"/>
    <x v="0"/>
  </r>
  <r>
    <x v="48"/>
    <x v="6"/>
    <x v="6"/>
    <x v="4"/>
    <x v="87"/>
    <x v="16"/>
    <x v="90"/>
    <x v="2"/>
    <x v="37"/>
    <x v="38"/>
    <x v="8"/>
    <x v="0"/>
    <x v="0"/>
    <x v="178"/>
    <x v="169"/>
    <x v="10"/>
  </r>
  <r>
    <x v="49"/>
    <x v="14"/>
    <x v="14"/>
    <x v="10"/>
    <x v="88"/>
    <x v="2"/>
    <x v="91"/>
    <x v="62"/>
    <x v="71"/>
    <x v="0"/>
    <x v="3"/>
    <x v="0"/>
    <x v="0"/>
    <x v="179"/>
    <x v="170"/>
    <x v="8"/>
  </r>
  <r>
    <x v="49"/>
    <x v="12"/>
    <x v="12"/>
    <x v="10"/>
    <x v="61"/>
    <x v="7"/>
    <x v="64"/>
    <x v="44"/>
    <x v="32"/>
    <x v="0"/>
    <x v="2"/>
    <x v="0"/>
    <x v="0"/>
    <x v="180"/>
    <x v="171"/>
    <x v="2"/>
  </r>
  <r>
    <x v="50"/>
    <x v="15"/>
    <x v="15"/>
    <x v="4"/>
    <x v="89"/>
    <x v="18"/>
    <x v="92"/>
    <x v="63"/>
    <x v="72"/>
    <x v="39"/>
    <x v="0"/>
    <x v="0"/>
    <x v="0"/>
    <x v="181"/>
    <x v="172"/>
    <x v="6"/>
  </r>
  <r>
    <x v="50"/>
    <x v="5"/>
    <x v="5"/>
    <x v="6"/>
    <x v="5"/>
    <x v="6"/>
    <x v="6"/>
    <x v="0"/>
    <x v="0"/>
    <x v="0"/>
    <x v="0"/>
    <x v="0"/>
    <x v="0"/>
    <x v="182"/>
    <x v="173"/>
    <x v="6"/>
  </r>
  <r>
    <x v="50"/>
    <x v="5"/>
    <x v="5"/>
    <x v="5"/>
    <x v="5"/>
    <x v="6"/>
    <x v="6"/>
    <x v="0"/>
    <x v="0"/>
    <x v="0"/>
    <x v="0"/>
    <x v="0"/>
    <x v="0"/>
    <x v="183"/>
    <x v="174"/>
    <x v="6"/>
  </r>
  <r>
    <x v="50"/>
    <x v="5"/>
    <x v="5"/>
    <x v="5"/>
    <x v="5"/>
    <x v="6"/>
    <x v="6"/>
    <x v="0"/>
    <x v="0"/>
    <x v="0"/>
    <x v="0"/>
    <x v="0"/>
    <x v="0"/>
    <x v="184"/>
    <x v="175"/>
    <x v="6"/>
  </r>
  <r>
    <x v="51"/>
    <x v="2"/>
    <x v="2"/>
    <x v="4"/>
    <x v="90"/>
    <x v="5"/>
    <x v="93"/>
    <x v="64"/>
    <x v="73"/>
    <x v="40"/>
    <x v="7"/>
    <x v="0"/>
    <x v="0"/>
    <x v="185"/>
    <x v="176"/>
    <x v="10"/>
  </r>
  <r>
    <x v="51"/>
    <x v="14"/>
    <x v="14"/>
    <x v="4"/>
    <x v="58"/>
    <x v="2"/>
    <x v="61"/>
    <x v="22"/>
    <x v="46"/>
    <x v="23"/>
    <x v="3"/>
    <x v="0"/>
    <x v="0"/>
    <x v="127"/>
    <x v="177"/>
    <x v="10"/>
  </r>
  <r>
    <x v="51"/>
    <x v="6"/>
    <x v="6"/>
    <x v="10"/>
    <x v="91"/>
    <x v="5"/>
    <x v="94"/>
    <x v="65"/>
    <x v="74"/>
    <x v="0"/>
    <x v="7"/>
    <x v="0"/>
    <x v="0"/>
    <x v="186"/>
    <x v="178"/>
    <x v="0"/>
  </r>
  <r>
    <x v="51"/>
    <x v="6"/>
    <x v="6"/>
    <x v="4"/>
    <x v="92"/>
    <x v="5"/>
    <x v="95"/>
    <x v="66"/>
    <x v="75"/>
    <x v="41"/>
    <x v="7"/>
    <x v="0"/>
    <x v="0"/>
    <x v="187"/>
    <x v="179"/>
    <x v="10"/>
  </r>
  <r>
    <x v="51"/>
    <x v="6"/>
    <x v="6"/>
    <x v="10"/>
    <x v="93"/>
    <x v="7"/>
    <x v="96"/>
    <x v="67"/>
    <x v="76"/>
    <x v="0"/>
    <x v="2"/>
    <x v="0"/>
    <x v="0"/>
    <x v="188"/>
    <x v="180"/>
    <x v="2"/>
  </r>
  <r>
    <x v="52"/>
    <x v="12"/>
    <x v="12"/>
    <x v="1"/>
    <x v="94"/>
    <x v="8"/>
    <x v="97"/>
    <x v="68"/>
    <x v="77"/>
    <x v="0"/>
    <x v="1"/>
    <x v="0"/>
    <x v="0"/>
    <x v="189"/>
    <x v="181"/>
    <x v="12"/>
  </r>
  <r>
    <x v="52"/>
    <x v="5"/>
    <x v="5"/>
    <x v="2"/>
    <x v="5"/>
    <x v="6"/>
    <x v="6"/>
    <x v="0"/>
    <x v="0"/>
    <x v="0"/>
    <x v="0"/>
    <x v="0"/>
    <x v="0"/>
    <x v="190"/>
    <x v="180"/>
    <x v="6"/>
  </r>
  <r>
    <x v="53"/>
    <x v="2"/>
    <x v="2"/>
    <x v="4"/>
    <x v="95"/>
    <x v="7"/>
    <x v="98"/>
    <x v="69"/>
    <x v="78"/>
    <x v="42"/>
    <x v="2"/>
    <x v="0"/>
    <x v="0"/>
    <x v="191"/>
    <x v="182"/>
    <x v="6"/>
  </r>
  <r>
    <x v="53"/>
    <x v="6"/>
    <x v="6"/>
    <x v="10"/>
    <x v="96"/>
    <x v="7"/>
    <x v="99"/>
    <x v="70"/>
    <x v="79"/>
    <x v="0"/>
    <x v="2"/>
    <x v="0"/>
    <x v="0"/>
    <x v="192"/>
    <x v="183"/>
    <x v="8"/>
  </r>
  <r>
    <x v="54"/>
    <x v="5"/>
    <x v="5"/>
    <x v="13"/>
    <x v="5"/>
    <x v="6"/>
    <x v="6"/>
    <x v="0"/>
    <x v="0"/>
    <x v="0"/>
    <x v="0"/>
    <x v="0"/>
    <x v="0"/>
    <x v="193"/>
    <x v="184"/>
    <x v="6"/>
  </r>
  <r>
    <x v="54"/>
    <x v="6"/>
    <x v="6"/>
    <x v="4"/>
    <x v="97"/>
    <x v="7"/>
    <x v="100"/>
    <x v="71"/>
    <x v="80"/>
    <x v="43"/>
    <x v="2"/>
    <x v="0"/>
    <x v="0"/>
    <x v="194"/>
    <x v="185"/>
    <x v="2"/>
  </r>
  <r>
    <x v="54"/>
    <x v="14"/>
    <x v="14"/>
    <x v="4"/>
    <x v="98"/>
    <x v="7"/>
    <x v="101"/>
    <x v="2"/>
    <x v="32"/>
    <x v="44"/>
    <x v="2"/>
    <x v="0"/>
    <x v="0"/>
    <x v="195"/>
    <x v="186"/>
    <x v="6"/>
  </r>
  <r>
    <x v="54"/>
    <x v="6"/>
    <x v="6"/>
    <x v="4"/>
    <x v="99"/>
    <x v="7"/>
    <x v="102"/>
    <x v="72"/>
    <x v="79"/>
    <x v="45"/>
    <x v="2"/>
    <x v="0"/>
    <x v="0"/>
    <x v="196"/>
    <x v="187"/>
    <x v="10"/>
  </r>
  <r>
    <x v="54"/>
    <x v="6"/>
    <x v="6"/>
    <x v="10"/>
    <x v="99"/>
    <x v="7"/>
    <x v="102"/>
    <x v="72"/>
    <x v="79"/>
    <x v="0"/>
    <x v="2"/>
    <x v="0"/>
    <x v="0"/>
    <x v="197"/>
    <x v="188"/>
    <x v="2"/>
  </r>
  <r>
    <x v="54"/>
    <x v="5"/>
    <x v="5"/>
    <x v="6"/>
    <x v="5"/>
    <x v="6"/>
    <x v="6"/>
    <x v="0"/>
    <x v="0"/>
    <x v="0"/>
    <x v="0"/>
    <x v="0"/>
    <x v="0"/>
    <x v="198"/>
    <x v="189"/>
    <x v="6"/>
  </r>
  <r>
    <x v="54"/>
    <x v="5"/>
    <x v="5"/>
    <x v="5"/>
    <x v="5"/>
    <x v="6"/>
    <x v="6"/>
    <x v="0"/>
    <x v="0"/>
    <x v="0"/>
    <x v="0"/>
    <x v="0"/>
    <x v="0"/>
    <x v="189"/>
    <x v="190"/>
    <x v="6"/>
  </r>
  <r>
    <x v="55"/>
    <x v="6"/>
    <x v="6"/>
    <x v="4"/>
    <x v="100"/>
    <x v="5"/>
    <x v="103"/>
    <x v="73"/>
    <x v="81"/>
    <x v="46"/>
    <x v="7"/>
    <x v="0"/>
    <x v="0"/>
    <x v="199"/>
    <x v="191"/>
    <x v="0"/>
  </r>
  <r>
    <x v="55"/>
    <x v="12"/>
    <x v="12"/>
    <x v="10"/>
    <x v="101"/>
    <x v="2"/>
    <x v="104"/>
    <x v="74"/>
    <x v="82"/>
    <x v="0"/>
    <x v="3"/>
    <x v="0"/>
    <x v="0"/>
    <x v="200"/>
    <x v="192"/>
    <x v="24"/>
  </r>
  <r>
    <x v="56"/>
    <x v="12"/>
    <x v="12"/>
    <x v="10"/>
    <x v="102"/>
    <x v="19"/>
    <x v="105"/>
    <x v="2"/>
    <x v="83"/>
    <x v="0"/>
    <x v="9"/>
    <x v="0"/>
    <x v="0"/>
    <x v="201"/>
    <x v="193"/>
    <x v="25"/>
  </r>
  <r>
    <x v="57"/>
    <x v="7"/>
    <x v="16"/>
    <x v="7"/>
    <x v="5"/>
    <x v="20"/>
    <x v="6"/>
    <x v="0"/>
    <x v="0"/>
    <x v="0"/>
    <x v="0"/>
    <x v="0"/>
    <x v="0"/>
    <x v="0"/>
    <x v="193"/>
    <x v="26"/>
  </r>
  <r>
    <x v="58"/>
    <x v="7"/>
    <x v="16"/>
    <x v="9"/>
    <x v="14"/>
    <x v="20"/>
    <x v="106"/>
    <x v="0"/>
    <x v="0"/>
    <x v="0"/>
    <x v="0"/>
    <x v="0"/>
    <x v="0"/>
    <x v="0"/>
    <x v="193"/>
    <x v="6"/>
  </r>
  <r>
    <x v="59"/>
    <x v="6"/>
    <x v="6"/>
    <x v="14"/>
    <x v="5"/>
    <x v="0"/>
    <x v="107"/>
    <x v="0"/>
    <x v="0"/>
    <x v="0"/>
    <x v="0"/>
    <x v="0"/>
    <x v="0"/>
    <x v="202"/>
    <x v="194"/>
    <x v="6"/>
  </r>
  <r>
    <x v="60"/>
    <x v="6"/>
    <x v="17"/>
    <x v="15"/>
    <x v="5"/>
    <x v="21"/>
    <x v="6"/>
    <x v="0"/>
    <x v="0"/>
    <x v="0"/>
    <x v="0"/>
    <x v="0"/>
    <x v="0"/>
    <x v="0"/>
    <x v="194"/>
    <x v="27"/>
  </r>
  <r>
    <x v="60"/>
    <x v="12"/>
    <x v="12"/>
    <x v="1"/>
    <x v="103"/>
    <x v="18"/>
    <x v="108"/>
    <x v="75"/>
    <x v="84"/>
    <x v="0"/>
    <x v="10"/>
    <x v="0"/>
    <x v="0"/>
    <x v="203"/>
    <x v="195"/>
    <x v="28"/>
  </r>
  <r>
    <x v="60"/>
    <x v="5"/>
    <x v="5"/>
    <x v="2"/>
    <x v="5"/>
    <x v="6"/>
    <x v="6"/>
    <x v="0"/>
    <x v="0"/>
    <x v="0"/>
    <x v="0"/>
    <x v="0"/>
    <x v="0"/>
    <x v="204"/>
    <x v="194"/>
    <x v="6"/>
  </r>
  <r>
    <x v="61"/>
    <x v="6"/>
    <x v="6"/>
    <x v="4"/>
    <x v="104"/>
    <x v="21"/>
    <x v="109"/>
    <x v="76"/>
    <x v="85"/>
    <x v="47"/>
    <x v="11"/>
    <x v="0"/>
    <x v="0"/>
    <x v="205"/>
    <x v="196"/>
    <x v="0"/>
  </r>
  <r>
    <x v="61"/>
    <x v="12"/>
    <x v="12"/>
    <x v="4"/>
    <x v="105"/>
    <x v="18"/>
    <x v="110"/>
    <x v="77"/>
    <x v="86"/>
    <x v="48"/>
    <x v="10"/>
    <x v="0"/>
    <x v="0"/>
    <x v="206"/>
    <x v="197"/>
    <x v="25"/>
  </r>
  <r>
    <x v="61"/>
    <x v="1"/>
    <x v="1"/>
    <x v="10"/>
    <x v="106"/>
    <x v="22"/>
    <x v="111"/>
    <x v="2"/>
    <x v="29"/>
    <x v="0"/>
    <x v="0"/>
    <x v="0"/>
    <x v="0"/>
    <x v="207"/>
    <x v="198"/>
    <x v="29"/>
  </r>
  <r>
    <x v="61"/>
    <x v="5"/>
    <x v="5"/>
    <x v="6"/>
    <x v="5"/>
    <x v="6"/>
    <x v="6"/>
    <x v="0"/>
    <x v="0"/>
    <x v="0"/>
    <x v="0"/>
    <x v="0"/>
    <x v="0"/>
    <x v="208"/>
    <x v="199"/>
    <x v="6"/>
  </r>
  <r>
    <x v="61"/>
    <x v="5"/>
    <x v="5"/>
    <x v="5"/>
    <x v="5"/>
    <x v="6"/>
    <x v="6"/>
    <x v="0"/>
    <x v="0"/>
    <x v="0"/>
    <x v="0"/>
    <x v="0"/>
    <x v="0"/>
    <x v="203"/>
    <x v="200"/>
    <x v="6"/>
  </r>
  <r>
    <x v="62"/>
    <x v="6"/>
    <x v="6"/>
    <x v="16"/>
    <x v="5"/>
    <x v="6"/>
    <x v="6"/>
    <x v="0"/>
    <x v="0"/>
    <x v="0"/>
    <x v="0"/>
    <x v="0"/>
    <x v="0"/>
    <x v="209"/>
    <x v="201"/>
    <x v="6"/>
  </r>
  <r>
    <x v="62"/>
    <x v="6"/>
    <x v="6"/>
    <x v="16"/>
    <x v="5"/>
    <x v="6"/>
    <x v="6"/>
    <x v="0"/>
    <x v="0"/>
    <x v="0"/>
    <x v="0"/>
    <x v="0"/>
    <x v="0"/>
    <x v="210"/>
    <x v="202"/>
    <x v="6"/>
  </r>
  <r>
    <x v="63"/>
    <x v="1"/>
    <x v="1"/>
    <x v="10"/>
    <x v="107"/>
    <x v="22"/>
    <x v="112"/>
    <x v="2"/>
    <x v="51"/>
    <x v="0"/>
    <x v="0"/>
    <x v="0"/>
    <x v="0"/>
    <x v="211"/>
    <x v="203"/>
    <x v="30"/>
  </r>
  <r>
    <x v="64"/>
    <x v="12"/>
    <x v="12"/>
    <x v="1"/>
    <x v="108"/>
    <x v="2"/>
    <x v="113"/>
    <x v="78"/>
    <x v="87"/>
    <x v="0"/>
    <x v="3"/>
    <x v="0"/>
    <x v="0"/>
    <x v="212"/>
    <x v="204"/>
    <x v="31"/>
  </r>
  <r>
    <x v="64"/>
    <x v="5"/>
    <x v="5"/>
    <x v="2"/>
    <x v="5"/>
    <x v="6"/>
    <x v="6"/>
    <x v="0"/>
    <x v="0"/>
    <x v="0"/>
    <x v="0"/>
    <x v="0"/>
    <x v="0"/>
    <x v="213"/>
    <x v="203"/>
    <x v="6"/>
  </r>
  <r>
    <x v="65"/>
    <x v="12"/>
    <x v="12"/>
    <x v="4"/>
    <x v="109"/>
    <x v="2"/>
    <x v="114"/>
    <x v="79"/>
    <x v="88"/>
    <x v="49"/>
    <x v="3"/>
    <x v="0"/>
    <x v="0"/>
    <x v="214"/>
    <x v="205"/>
    <x v="25"/>
  </r>
  <r>
    <x v="65"/>
    <x v="12"/>
    <x v="12"/>
    <x v="1"/>
    <x v="110"/>
    <x v="18"/>
    <x v="115"/>
    <x v="80"/>
    <x v="89"/>
    <x v="0"/>
    <x v="10"/>
    <x v="0"/>
    <x v="0"/>
    <x v="215"/>
    <x v="206"/>
    <x v="28"/>
  </r>
  <r>
    <x v="65"/>
    <x v="5"/>
    <x v="5"/>
    <x v="2"/>
    <x v="5"/>
    <x v="6"/>
    <x v="6"/>
    <x v="0"/>
    <x v="0"/>
    <x v="0"/>
    <x v="0"/>
    <x v="0"/>
    <x v="0"/>
    <x v="216"/>
    <x v="205"/>
    <x v="6"/>
  </r>
  <r>
    <x v="65"/>
    <x v="5"/>
    <x v="5"/>
    <x v="6"/>
    <x v="5"/>
    <x v="6"/>
    <x v="6"/>
    <x v="0"/>
    <x v="0"/>
    <x v="0"/>
    <x v="0"/>
    <x v="0"/>
    <x v="0"/>
    <x v="217"/>
    <x v="207"/>
    <x v="6"/>
  </r>
  <r>
    <x v="65"/>
    <x v="5"/>
    <x v="5"/>
    <x v="5"/>
    <x v="5"/>
    <x v="6"/>
    <x v="6"/>
    <x v="0"/>
    <x v="0"/>
    <x v="0"/>
    <x v="0"/>
    <x v="0"/>
    <x v="0"/>
    <x v="218"/>
    <x v="208"/>
    <x v="6"/>
  </r>
  <r>
    <x v="65"/>
    <x v="5"/>
    <x v="5"/>
    <x v="5"/>
    <x v="5"/>
    <x v="6"/>
    <x v="6"/>
    <x v="0"/>
    <x v="0"/>
    <x v="0"/>
    <x v="0"/>
    <x v="0"/>
    <x v="0"/>
    <x v="219"/>
    <x v="209"/>
    <x v="6"/>
  </r>
  <r>
    <x v="65"/>
    <x v="5"/>
    <x v="5"/>
    <x v="5"/>
    <x v="5"/>
    <x v="6"/>
    <x v="6"/>
    <x v="0"/>
    <x v="0"/>
    <x v="0"/>
    <x v="0"/>
    <x v="0"/>
    <x v="0"/>
    <x v="220"/>
    <x v="210"/>
    <x v="6"/>
  </r>
  <r>
    <x v="66"/>
    <x v="12"/>
    <x v="12"/>
    <x v="4"/>
    <x v="111"/>
    <x v="18"/>
    <x v="116"/>
    <x v="81"/>
    <x v="90"/>
    <x v="50"/>
    <x v="10"/>
    <x v="0"/>
    <x v="0"/>
    <x v="221"/>
    <x v="211"/>
    <x v="25"/>
  </r>
  <r>
    <x v="66"/>
    <x v="12"/>
    <x v="12"/>
    <x v="1"/>
    <x v="112"/>
    <x v="18"/>
    <x v="117"/>
    <x v="82"/>
    <x v="91"/>
    <x v="0"/>
    <x v="10"/>
    <x v="0"/>
    <x v="0"/>
    <x v="222"/>
    <x v="212"/>
    <x v="28"/>
  </r>
  <r>
    <x v="66"/>
    <x v="12"/>
    <x v="12"/>
    <x v="4"/>
    <x v="113"/>
    <x v="18"/>
    <x v="118"/>
    <x v="83"/>
    <x v="92"/>
    <x v="51"/>
    <x v="10"/>
    <x v="0"/>
    <x v="0"/>
    <x v="223"/>
    <x v="213"/>
    <x v="25"/>
  </r>
  <r>
    <x v="66"/>
    <x v="12"/>
    <x v="12"/>
    <x v="1"/>
    <x v="114"/>
    <x v="2"/>
    <x v="119"/>
    <x v="84"/>
    <x v="93"/>
    <x v="0"/>
    <x v="3"/>
    <x v="0"/>
    <x v="0"/>
    <x v="224"/>
    <x v="214"/>
    <x v="31"/>
  </r>
  <r>
    <x v="66"/>
    <x v="5"/>
    <x v="5"/>
    <x v="2"/>
    <x v="5"/>
    <x v="6"/>
    <x v="6"/>
    <x v="0"/>
    <x v="0"/>
    <x v="0"/>
    <x v="0"/>
    <x v="0"/>
    <x v="0"/>
    <x v="225"/>
    <x v="215"/>
    <x v="6"/>
  </r>
  <r>
    <x v="66"/>
    <x v="5"/>
    <x v="5"/>
    <x v="2"/>
    <x v="5"/>
    <x v="6"/>
    <x v="6"/>
    <x v="0"/>
    <x v="0"/>
    <x v="0"/>
    <x v="0"/>
    <x v="0"/>
    <x v="0"/>
    <x v="226"/>
    <x v="216"/>
    <x v="6"/>
  </r>
  <r>
    <x v="66"/>
    <x v="5"/>
    <x v="5"/>
    <x v="6"/>
    <x v="5"/>
    <x v="6"/>
    <x v="6"/>
    <x v="0"/>
    <x v="0"/>
    <x v="0"/>
    <x v="0"/>
    <x v="0"/>
    <x v="0"/>
    <x v="227"/>
    <x v="217"/>
    <x v="6"/>
  </r>
  <r>
    <x v="66"/>
    <x v="5"/>
    <x v="5"/>
    <x v="5"/>
    <x v="5"/>
    <x v="6"/>
    <x v="6"/>
    <x v="0"/>
    <x v="0"/>
    <x v="0"/>
    <x v="0"/>
    <x v="0"/>
    <x v="0"/>
    <x v="228"/>
    <x v="218"/>
    <x v="6"/>
  </r>
  <r>
    <x v="66"/>
    <x v="5"/>
    <x v="5"/>
    <x v="5"/>
    <x v="5"/>
    <x v="6"/>
    <x v="6"/>
    <x v="0"/>
    <x v="0"/>
    <x v="0"/>
    <x v="0"/>
    <x v="0"/>
    <x v="0"/>
    <x v="215"/>
    <x v="219"/>
    <x v="6"/>
  </r>
  <r>
    <x v="66"/>
    <x v="5"/>
    <x v="5"/>
    <x v="5"/>
    <x v="5"/>
    <x v="6"/>
    <x v="6"/>
    <x v="0"/>
    <x v="0"/>
    <x v="0"/>
    <x v="0"/>
    <x v="0"/>
    <x v="0"/>
    <x v="229"/>
    <x v="220"/>
    <x v="6"/>
  </r>
  <r>
    <x v="66"/>
    <x v="5"/>
    <x v="5"/>
    <x v="5"/>
    <x v="5"/>
    <x v="6"/>
    <x v="6"/>
    <x v="0"/>
    <x v="0"/>
    <x v="0"/>
    <x v="0"/>
    <x v="0"/>
    <x v="0"/>
    <x v="230"/>
    <x v="221"/>
    <x v="6"/>
  </r>
  <r>
    <x v="67"/>
    <x v="12"/>
    <x v="12"/>
    <x v="4"/>
    <x v="115"/>
    <x v="2"/>
    <x v="120"/>
    <x v="85"/>
    <x v="94"/>
    <x v="52"/>
    <x v="3"/>
    <x v="0"/>
    <x v="0"/>
    <x v="231"/>
    <x v="222"/>
    <x v="25"/>
  </r>
  <r>
    <x v="67"/>
    <x v="5"/>
    <x v="5"/>
    <x v="6"/>
    <x v="5"/>
    <x v="6"/>
    <x v="6"/>
    <x v="0"/>
    <x v="0"/>
    <x v="0"/>
    <x v="0"/>
    <x v="0"/>
    <x v="0"/>
    <x v="232"/>
    <x v="223"/>
    <x v="6"/>
  </r>
  <r>
    <x v="67"/>
    <x v="5"/>
    <x v="5"/>
    <x v="5"/>
    <x v="5"/>
    <x v="6"/>
    <x v="6"/>
    <x v="0"/>
    <x v="0"/>
    <x v="0"/>
    <x v="0"/>
    <x v="0"/>
    <x v="0"/>
    <x v="224"/>
    <x v="224"/>
    <x v="6"/>
  </r>
  <r>
    <x v="68"/>
    <x v="1"/>
    <x v="1"/>
    <x v="10"/>
    <x v="116"/>
    <x v="23"/>
    <x v="121"/>
    <x v="86"/>
    <x v="95"/>
    <x v="0"/>
    <x v="0"/>
    <x v="0"/>
    <x v="0"/>
    <x v="233"/>
    <x v="225"/>
    <x v="32"/>
  </r>
  <r>
    <x v="69"/>
    <x v="12"/>
    <x v="12"/>
    <x v="14"/>
    <x v="5"/>
    <x v="24"/>
    <x v="122"/>
    <x v="0"/>
    <x v="0"/>
    <x v="0"/>
    <x v="0"/>
    <x v="0"/>
    <x v="0"/>
    <x v="234"/>
    <x v="226"/>
    <x v="6"/>
  </r>
  <r>
    <x v="70"/>
    <x v="12"/>
    <x v="12"/>
    <x v="4"/>
    <x v="117"/>
    <x v="18"/>
    <x v="123"/>
    <x v="87"/>
    <x v="96"/>
    <x v="53"/>
    <x v="10"/>
    <x v="0"/>
    <x v="0"/>
    <x v="235"/>
    <x v="227"/>
    <x v="33"/>
  </r>
  <r>
    <x v="70"/>
    <x v="12"/>
    <x v="12"/>
    <x v="10"/>
    <x v="118"/>
    <x v="18"/>
    <x v="124"/>
    <x v="88"/>
    <x v="97"/>
    <x v="0"/>
    <x v="10"/>
    <x v="0"/>
    <x v="0"/>
    <x v="236"/>
    <x v="228"/>
    <x v="25"/>
  </r>
  <r>
    <x v="71"/>
    <x v="12"/>
    <x v="12"/>
    <x v="4"/>
    <x v="119"/>
    <x v="24"/>
    <x v="125"/>
    <x v="89"/>
    <x v="98"/>
    <x v="54"/>
    <x v="12"/>
    <x v="0"/>
    <x v="0"/>
    <x v="237"/>
    <x v="229"/>
    <x v="6"/>
  </r>
  <r>
    <x v="71"/>
    <x v="16"/>
    <x v="18"/>
    <x v="10"/>
    <x v="120"/>
    <x v="25"/>
    <x v="126"/>
    <x v="90"/>
    <x v="99"/>
    <x v="0"/>
    <x v="0"/>
    <x v="0"/>
    <x v="0"/>
    <x v="238"/>
    <x v="230"/>
    <x v="34"/>
  </r>
  <r>
    <x v="72"/>
    <x v="12"/>
    <x v="12"/>
    <x v="16"/>
    <x v="5"/>
    <x v="6"/>
    <x v="6"/>
    <x v="0"/>
    <x v="0"/>
    <x v="0"/>
    <x v="0"/>
    <x v="0"/>
    <x v="0"/>
    <x v="239"/>
    <x v="231"/>
    <x v="6"/>
  </r>
  <r>
    <x v="72"/>
    <x v="12"/>
    <x v="12"/>
    <x v="16"/>
    <x v="5"/>
    <x v="6"/>
    <x v="6"/>
    <x v="0"/>
    <x v="0"/>
    <x v="0"/>
    <x v="0"/>
    <x v="0"/>
    <x v="0"/>
    <x v="240"/>
    <x v="232"/>
    <x v="6"/>
  </r>
  <r>
    <x v="72"/>
    <x v="12"/>
    <x v="12"/>
    <x v="16"/>
    <x v="5"/>
    <x v="6"/>
    <x v="6"/>
    <x v="0"/>
    <x v="0"/>
    <x v="0"/>
    <x v="0"/>
    <x v="0"/>
    <x v="0"/>
    <x v="241"/>
    <x v="233"/>
    <x v="6"/>
  </r>
  <r>
    <x v="73"/>
    <x v="16"/>
    <x v="18"/>
    <x v="4"/>
    <x v="121"/>
    <x v="25"/>
    <x v="127"/>
    <x v="91"/>
    <x v="100"/>
    <x v="0"/>
    <x v="0"/>
    <x v="0"/>
    <x v="0"/>
    <x v="242"/>
    <x v="234"/>
    <x v="6"/>
  </r>
  <r>
    <x v="74"/>
    <x v="5"/>
    <x v="5"/>
    <x v="13"/>
    <x v="5"/>
    <x v="6"/>
    <x v="6"/>
    <x v="0"/>
    <x v="0"/>
    <x v="0"/>
    <x v="0"/>
    <x v="0"/>
    <x v="0"/>
    <x v="243"/>
    <x v="235"/>
    <x v="6"/>
  </r>
  <r>
    <x v="74"/>
    <x v="6"/>
    <x v="6"/>
    <x v="1"/>
    <x v="122"/>
    <x v="7"/>
    <x v="128"/>
    <x v="92"/>
    <x v="101"/>
    <x v="0"/>
    <x v="2"/>
    <x v="0"/>
    <x v="0"/>
    <x v="244"/>
    <x v="236"/>
    <x v="16"/>
  </r>
  <r>
    <x v="74"/>
    <x v="6"/>
    <x v="6"/>
    <x v="1"/>
    <x v="123"/>
    <x v="26"/>
    <x v="129"/>
    <x v="93"/>
    <x v="102"/>
    <x v="0"/>
    <x v="13"/>
    <x v="0"/>
    <x v="0"/>
    <x v="245"/>
    <x v="237"/>
    <x v="35"/>
  </r>
  <r>
    <x v="74"/>
    <x v="6"/>
    <x v="6"/>
    <x v="1"/>
    <x v="124"/>
    <x v="27"/>
    <x v="130"/>
    <x v="94"/>
    <x v="103"/>
    <x v="0"/>
    <x v="14"/>
    <x v="0"/>
    <x v="0"/>
    <x v="246"/>
    <x v="238"/>
    <x v="36"/>
  </r>
  <r>
    <x v="74"/>
    <x v="6"/>
    <x v="6"/>
    <x v="1"/>
    <x v="123"/>
    <x v="7"/>
    <x v="131"/>
    <x v="95"/>
    <x v="104"/>
    <x v="0"/>
    <x v="2"/>
    <x v="0"/>
    <x v="0"/>
    <x v="247"/>
    <x v="239"/>
    <x v="37"/>
  </r>
  <r>
    <x v="74"/>
    <x v="6"/>
    <x v="6"/>
    <x v="8"/>
    <x v="125"/>
    <x v="5"/>
    <x v="132"/>
    <x v="96"/>
    <x v="105"/>
    <x v="55"/>
    <x v="7"/>
    <x v="0"/>
    <x v="0"/>
    <x v="248"/>
    <x v="240"/>
    <x v="38"/>
  </r>
  <r>
    <x v="74"/>
    <x v="6"/>
    <x v="6"/>
    <x v="8"/>
    <x v="126"/>
    <x v="5"/>
    <x v="133"/>
    <x v="97"/>
    <x v="106"/>
    <x v="56"/>
    <x v="7"/>
    <x v="0"/>
    <x v="0"/>
    <x v="249"/>
    <x v="241"/>
    <x v="36"/>
  </r>
  <r>
    <x v="74"/>
    <x v="6"/>
    <x v="6"/>
    <x v="1"/>
    <x v="127"/>
    <x v="7"/>
    <x v="134"/>
    <x v="98"/>
    <x v="107"/>
    <x v="0"/>
    <x v="2"/>
    <x v="0"/>
    <x v="0"/>
    <x v="250"/>
    <x v="242"/>
    <x v="37"/>
  </r>
  <r>
    <x v="74"/>
    <x v="5"/>
    <x v="5"/>
    <x v="2"/>
    <x v="5"/>
    <x v="6"/>
    <x v="6"/>
    <x v="0"/>
    <x v="0"/>
    <x v="0"/>
    <x v="0"/>
    <x v="0"/>
    <x v="0"/>
    <x v="251"/>
    <x v="243"/>
    <x v="6"/>
  </r>
  <r>
    <x v="74"/>
    <x v="5"/>
    <x v="5"/>
    <x v="2"/>
    <x v="5"/>
    <x v="6"/>
    <x v="6"/>
    <x v="0"/>
    <x v="0"/>
    <x v="0"/>
    <x v="0"/>
    <x v="0"/>
    <x v="0"/>
    <x v="252"/>
    <x v="244"/>
    <x v="6"/>
  </r>
  <r>
    <x v="74"/>
    <x v="5"/>
    <x v="5"/>
    <x v="2"/>
    <x v="5"/>
    <x v="6"/>
    <x v="6"/>
    <x v="0"/>
    <x v="0"/>
    <x v="0"/>
    <x v="0"/>
    <x v="0"/>
    <x v="0"/>
    <x v="253"/>
    <x v="245"/>
    <x v="6"/>
  </r>
  <r>
    <x v="74"/>
    <x v="5"/>
    <x v="5"/>
    <x v="2"/>
    <x v="5"/>
    <x v="6"/>
    <x v="6"/>
    <x v="0"/>
    <x v="0"/>
    <x v="0"/>
    <x v="0"/>
    <x v="0"/>
    <x v="0"/>
    <x v="254"/>
    <x v="246"/>
    <x v="6"/>
  </r>
  <r>
    <x v="74"/>
    <x v="5"/>
    <x v="5"/>
    <x v="2"/>
    <x v="5"/>
    <x v="6"/>
    <x v="6"/>
    <x v="0"/>
    <x v="0"/>
    <x v="0"/>
    <x v="0"/>
    <x v="0"/>
    <x v="0"/>
    <x v="255"/>
    <x v="247"/>
    <x v="6"/>
  </r>
  <r>
    <x v="74"/>
    <x v="5"/>
    <x v="5"/>
    <x v="5"/>
    <x v="5"/>
    <x v="6"/>
    <x v="6"/>
    <x v="0"/>
    <x v="0"/>
    <x v="0"/>
    <x v="0"/>
    <x v="0"/>
    <x v="0"/>
    <x v="256"/>
    <x v="248"/>
    <x v="6"/>
  </r>
  <r>
    <x v="74"/>
    <x v="5"/>
    <x v="5"/>
    <x v="5"/>
    <x v="5"/>
    <x v="6"/>
    <x v="6"/>
    <x v="0"/>
    <x v="0"/>
    <x v="0"/>
    <x v="0"/>
    <x v="0"/>
    <x v="0"/>
    <x v="257"/>
    <x v="235"/>
    <x v="6"/>
  </r>
  <r>
    <x v="75"/>
    <x v="12"/>
    <x v="12"/>
    <x v="1"/>
    <x v="128"/>
    <x v="7"/>
    <x v="135"/>
    <x v="99"/>
    <x v="108"/>
    <x v="0"/>
    <x v="2"/>
    <x v="0"/>
    <x v="0"/>
    <x v="258"/>
    <x v="249"/>
    <x v="10"/>
  </r>
  <r>
    <x v="75"/>
    <x v="6"/>
    <x v="6"/>
    <x v="1"/>
    <x v="129"/>
    <x v="7"/>
    <x v="136"/>
    <x v="100"/>
    <x v="109"/>
    <x v="0"/>
    <x v="2"/>
    <x v="0"/>
    <x v="0"/>
    <x v="259"/>
    <x v="250"/>
    <x v="39"/>
  </r>
  <r>
    <x v="75"/>
    <x v="5"/>
    <x v="5"/>
    <x v="2"/>
    <x v="5"/>
    <x v="6"/>
    <x v="6"/>
    <x v="0"/>
    <x v="0"/>
    <x v="0"/>
    <x v="0"/>
    <x v="0"/>
    <x v="0"/>
    <x v="260"/>
    <x v="249"/>
    <x v="6"/>
  </r>
  <r>
    <x v="75"/>
    <x v="5"/>
    <x v="5"/>
    <x v="2"/>
    <x v="5"/>
    <x v="6"/>
    <x v="6"/>
    <x v="0"/>
    <x v="0"/>
    <x v="0"/>
    <x v="0"/>
    <x v="0"/>
    <x v="0"/>
    <x v="261"/>
    <x v="235"/>
    <x v="6"/>
  </r>
  <r>
    <x v="76"/>
    <x v="12"/>
    <x v="12"/>
    <x v="4"/>
    <x v="130"/>
    <x v="7"/>
    <x v="137"/>
    <x v="2"/>
    <x v="110"/>
    <x v="57"/>
    <x v="2"/>
    <x v="0"/>
    <x v="0"/>
    <x v="262"/>
    <x v="251"/>
    <x v="6"/>
  </r>
  <r>
    <x v="76"/>
    <x v="6"/>
    <x v="6"/>
    <x v="10"/>
    <x v="131"/>
    <x v="7"/>
    <x v="138"/>
    <x v="101"/>
    <x v="111"/>
    <x v="0"/>
    <x v="2"/>
    <x v="0"/>
    <x v="0"/>
    <x v="263"/>
    <x v="252"/>
    <x v="40"/>
  </r>
  <r>
    <x v="76"/>
    <x v="5"/>
    <x v="5"/>
    <x v="5"/>
    <x v="5"/>
    <x v="6"/>
    <x v="6"/>
    <x v="0"/>
    <x v="0"/>
    <x v="0"/>
    <x v="0"/>
    <x v="0"/>
    <x v="0"/>
    <x v="258"/>
    <x v="253"/>
    <x v="6"/>
  </r>
  <r>
    <x v="76"/>
    <x v="5"/>
    <x v="5"/>
    <x v="6"/>
    <x v="5"/>
    <x v="6"/>
    <x v="6"/>
    <x v="0"/>
    <x v="0"/>
    <x v="0"/>
    <x v="0"/>
    <x v="0"/>
    <x v="0"/>
    <x v="264"/>
    <x v="254"/>
    <x v="6"/>
  </r>
  <r>
    <x v="77"/>
    <x v="6"/>
    <x v="6"/>
    <x v="10"/>
    <x v="132"/>
    <x v="7"/>
    <x v="139"/>
    <x v="102"/>
    <x v="112"/>
    <x v="0"/>
    <x v="2"/>
    <x v="0"/>
    <x v="0"/>
    <x v="265"/>
    <x v="255"/>
    <x v="41"/>
  </r>
  <r>
    <x v="77"/>
    <x v="12"/>
    <x v="12"/>
    <x v="10"/>
    <x v="133"/>
    <x v="7"/>
    <x v="140"/>
    <x v="2"/>
    <x v="113"/>
    <x v="0"/>
    <x v="2"/>
    <x v="0"/>
    <x v="0"/>
    <x v="266"/>
    <x v="256"/>
    <x v="10"/>
  </r>
  <r>
    <x v="77"/>
    <x v="6"/>
    <x v="6"/>
    <x v="10"/>
    <x v="74"/>
    <x v="7"/>
    <x v="141"/>
    <x v="103"/>
    <x v="114"/>
    <x v="0"/>
    <x v="2"/>
    <x v="0"/>
    <x v="0"/>
    <x v="267"/>
    <x v="257"/>
    <x v="42"/>
  </r>
  <r>
    <x v="78"/>
    <x v="6"/>
    <x v="6"/>
    <x v="10"/>
    <x v="134"/>
    <x v="7"/>
    <x v="142"/>
    <x v="104"/>
    <x v="115"/>
    <x v="0"/>
    <x v="2"/>
    <x v="0"/>
    <x v="0"/>
    <x v="268"/>
    <x v="258"/>
    <x v="43"/>
  </r>
  <r>
    <x v="79"/>
    <x v="12"/>
    <x v="12"/>
    <x v="10"/>
    <x v="135"/>
    <x v="7"/>
    <x v="143"/>
    <x v="2"/>
    <x v="116"/>
    <x v="0"/>
    <x v="2"/>
    <x v="0"/>
    <x v="0"/>
    <x v="269"/>
    <x v="259"/>
    <x v="2"/>
  </r>
  <r>
    <x v="80"/>
    <x v="6"/>
    <x v="6"/>
    <x v="4"/>
    <x v="136"/>
    <x v="7"/>
    <x v="144"/>
    <x v="105"/>
    <x v="112"/>
    <x v="58"/>
    <x v="2"/>
    <x v="0"/>
    <x v="0"/>
    <x v="270"/>
    <x v="260"/>
    <x v="42"/>
  </r>
  <r>
    <x v="80"/>
    <x v="12"/>
    <x v="12"/>
    <x v="4"/>
    <x v="137"/>
    <x v="7"/>
    <x v="145"/>
    <x v="2"/>
    <x v="28"/>
    <x v="59"/>
    <x v="2"/>
    <x v="0"/>
    <x v="0"/>
    <x v="271"/>
    <x v="261"/>
    <x v="10"/>
  </r>
  <r>
    <x v="80"/>
    <x v="12"/>
    <x v="12"/>
    <x v="10"/>
    <x v="138"/>
    <x v="7"/>
    <x v="146"/>
    <x v="2"/>
    <x v="117"/>
    <x v="0"/>
    <x v="2"/>
    <x v="0"/>
    <x v="0"/>
    <x v="272"/>
    <x v="262"/>
    <x v="2"/>
  </r>
  <r>
    <x v="80"/>
    <x v="6"/>
    <x v="6"/>
    <x v="4"/>
    <x v="139"/>
    <x v="7"/>
    <x v="147"/>
    <x v="106"/>
    <x v="118"/>
    <x v="60"/>
    <x v="2"/>
    <x v="0"/>
    <x v="0"/>
    <x v="273"/>
    <x v="263"/>
    <x v="41"/>
  </r>
  <r>
    <x v="80"/>
    <x v="6"/>
    <x v="6"/>
    <x v="1"/>
    <x v="140"/>
    <x v="5"/>
    <x v="148"/>
    <x v="107"/>
    <x v="119"/>
    <x v="0"/>
    <x v="7"/>
    <x v="0"/>
    <x v="0"/>
    <x v="274"/>
    <x v="264"/>
    <x v="44"/>
  </r>
  <r>
    <x v="80"/>
    <x v="5"/>
    <x v="5"/>
    <x v="2"/>
    <x v="5"/>
    <x v="6"/>
    <x v="6"/>
    <x v="0"/>
    <x v="0"/>
    <x v="0"/>
    <x v="0"/>
    <x v="0"/>
    <x v="0"/>
    <x v="275"/>
    <x v="263"/>
    <x v="6"/>
  </r>
  <r>
    <x v="80"/>
    <x v="5"/>
    <x v="5"/>
    <x v="5"/>
    <x v="5"/>
    <x v="6"/>
    <x v="6"/>
    <x v="0"/>
    <x v="0"/>
    <x v="0"/>
    <x v="0"/>
    <x v="0"/>
    <x v="0"/>
    <x v="276"/>
    <x v="265"/>
    <x v="6"/>
  </r>
  <r>
    <x v="80"/>
    <x v="5"/>
    <x v="5"/>
    <x v="5"/>
    <x v="5"/>
    <x v="6"/>
    <x v="6"/>
    <x v="0"/>
    <x v="0"/>
    <x v="0"/>
    <x v="0"/>
    <x v="0"/>
    <x v="0"/>
    <x v="277"/>
    <x v="266"/>
    <x v="6"/>
  </r>
  <r>
    <x v="80"/>
    <x v="5"/>
    <x v="5"/>
    <x v="5"/>
    <x v="5"/>
    <x v="6"/>
    <x v="6"/>
    <x v="0"/>
    <x v="0"/>
    <x v="0"/>
    <x v="0"/>
    <x v="0"/>
    <x v="0"/>
    <x v="278"/>
    <x v="267"/>
    <x v="6"/>
  </r>
  <r>
    <x v="80"/>
    <x v="5"/>
    <x v="5"/>
    <x v="5"/>
    <x v="5"/>
    <x v="6"/>
    <x v="6"/>
    <x v="0"/>
    <x v="0"/>
    <x v="0"/>
    <x v="0"/>
    <x v="0"/>
    <x v="0"/>
    <x v="279"/>
    <x v="268"/>
    <x v="6"/>
  </r>
  <r>
    <x v="80"/>
    <x v="5"/>
    <x v="5"/>
    <x v="5"/>
    <x v="5"/>
    <x v="6"/>
    <x v="6"/>
    <x v="0"/>
    <x v="0"/>
    <x v="0"/>
    <x v="0"/>
    <x v="0"/>
    <x v="0"/>
    <x v="280"/>
    <x v="269"/>
    <x v="6"/>
  </r>
  <r>
    <x v="80"/>
    <x v="5"/>
    <x v="5"/>
    <x v="5"/>
    <x v="5"/>
    <x v="6"/>
    <x v="6"/>
    <x v="0"/>
    <x v="0"/>
    <x v="0"/>
    <x v="0"/>
    <x v="0"/>
    <x v="0"/>
    <x v="281"/>
    <x v="270"/>
    <x v="6"/>
  </r>
  <r>
    <x v="80"/>
    <x v="5"/>
    <x v="5"/>
    <x v="6"/>
    <x v="5"/>
    <x v="6"/>
    <x v="6"/>
    <x v="0"/>
    <x v="0"/>
    <x v="0"/>
    <x v="0"/>
    <x v="0"/>
    <x v="0"/>
    <x v="282"/>
    <x v="271"/>
    <x v="6"/>
  </r>
  <r>
    <x v="80"/>
    <x v="5"/>
    <x v="5"/>
    <x v="6"/>
    <x v="5"/>
    <x v="6"/>
    <x v="6"/>
    <x v="0"/>
    <x v="0"/>
    <x v="0"/>
    <x v="0"/>
    <x v="0"/>
    <x v="0"/>
    <x v="283"/>
    <x v="272"/>
    <x v="6"/>
  </r>
  <r>
    <x v="81"/>
    <x v="6"/>
    <x v="6"/>
    <x v="16"/>
    <x v="5"/>
    <x v="6"/>
    <x v="6"/>
    <x v="0"/>
    <x v="0"/>
    <x v="0"/>
    <x v="0"/>
    <x v="0"/>
    <x v="0"/>
    <x v="284"/>
    <x v="273"/>
    <x v="6"/>
  </r>
  <r>
    <x v="82"/>
    <x v="12"/>
    <x v="12"/>
    <x v="1"/>
    <x v="141"/>
    <x v="7"/>
    <x v="149"/>
    <x v="108"/>
    <x v="120"/>
    <x v="0"/>
    <x v="2"/>
    <x v="0"/>
    <x v="0"/>
    <x v="285"/>
    <x v="274"/>
    <x v="8"/>
  </r>
  <r>
    <x v="82"/>
    <x v="12"/>
    <x v="12"/>
    <x v="4"/>
    <x v="142"/>
    <x v="7"/>
    <x v="150"/>
    <x v="2"/>
    <x v="121"/>
    <x v="61"/>
    <x v="2"/>
    <x v="0"/>
    <x v="0"/>
    <x v="286"/>
    <x v="275"/>
    <x v="2"/>
  </r>
  <r>
    <x v="82"/>
    <x v="6"/>
    <x v="6"/>
    <x v="4"/>
    <x v="143"/>
    <x v="5"/>
    <x v="146"/>
    <x v="2"/>
    <x v="117"/>
    <x v="62"/>
    <x v="7"/>
    <x v="0"/>
    <x v="0"/>
    <x v="287"/>
    <x v="276"/>
    <x v="41"/>
  </r>
  <r>
    <x v="82"/>
    <x v="5"/>
    <x v="5"/>
    <x v="2"/>
    <x v="5"/>
    <x v="6"/>
    <x v="6"/>
    <x v="0"/>
    <x v="0"/>
    <x v="0"/>
    <x v="0"/>
    <x v="0"/>
    <x v="0"/>
    <x v="288"/>
    <x v="277"/>
    <x v="6"/>
  </r>
  <r>
    <x v="82"/>
    <x v="5"/>
    <x v="5"/>
    <x v="5"/>
    <x v="5"/>
    <x v="6"/>
    <x v="6"/>
    <x v="0"/>
    <x v="0"/>
    <x v="0"/>
    <x v="0"/>
    <x v="0"/>
    <x v="0"/>
    <x v="289"/>
    <x v="278"/>
    <x v="6"/>
  </r>
  <r>
    <x v="82"/>
    <x v="5"/>
    <x v="5"/>
    <x v="5"/>
    <x v="5"/>
    <x v="6"/>
    <x v="6"/>
    <x v="0"/>
    <x v="0"/>
    <x v="0"/>
    <x v="0"/>
    <x v="0"/>
    <x v="0"/>
    <x v="285"/>
    <x v="279"/>
    <x v="6"/>
  </r>
  <r>
    <x v="83"/>
    <x v="6"/>
    <x v="6"/>
    <x v="1"/>
    <x v="144"/>
    <x v="5"/>
    <x v="151"/>
    <x v="109"/>
    <x v="122"/>
    <x v="0"/>
    <x v="7"/>
    <x v="0"/>
    <x v="0"/>
    <x v="290"/>
    <x v="280"/>
    <x v="44"/>
  </r>
  <r>
    <x v="83"/>
    <x v="6"/>
    <x v="6"/>
    <x v="4"/>
    <x v="145"/>
    <x v="5"/>
    <x v="152"/>
    <x v="2"/>
    <x v="28"/>
    <x v="63"/>
    <x v="7"/>
    <x v="0"/>
    <x v="0"/>
    <x v="291"/>
    <x v="281"/>
    <x v="41"/>
  </r>
  <r>
    <x v="83"/>
    <x v="5"/>
    <x v="5"/>
    <x v="2"/>
    <x v="5"/>
    <x v="6"/>
    <x v="6"/>
    <x v="0"/>
    <x v="0"/>
    <x v="0"/>
    <x v="0"/>
    <x v="0"/>
    <x v="0"/>
    <x v="292"/>
    <x v="282"/>
    <x v="6"/>
  </r>
  <r>
    <x v="83"/>
    <x v="5"/>
    <x v="5"/>
    <x v="5"/>
    <x v="5"/>
    <x v="6"/>
    <x v="6"/>
    <x v="0"/>
    <x v="0"/>
    <x v="0"/>
    <x v="0"/>
    <x v="0"/>
    <x v="0"/>
    <x v="293"/>
    <x v="283"/>
    <x v="6"/>
  </r>
  <r>
    <x v="83"/>
    <x v="5"/>
    <x v="5"/>
    <x v="5"/>
    <x v="5"/>
    <x v="6"/>
    <x v="6"/>
    <x v="0"/>
    <x v="0"/>
    <x v="0"/>
    <x v="0"/>
    <x v="0"/>
    <x v="0"/>
    <x v="294"/>
    <x v="284"/>
    <x v="6"/>
  </r>
  <r>
    <x v="83"/>
    <x v="5"/>
    <x v="5"/>
    <x v="6"/>
    <x v="5"/>
    <x v="6"/>
    <x v="6"/>
    <x v="0"/>
    <x v="0"/>
    <x v="0"/>
    <x v="0"/>
    <x v="0"/>
    <x v="0"/>
    <x v="295"/>
    <x v="285"/>
    <x v="6"/>
  </r>
  <r>
    <x v="84"/>
    <x v="6"/>
    <x v="6"/>
    <x v="1"/>
    <x v="146"/>
    <x v="5"/>
    <x v="153"/>
    <x v="110"/>
    <x v="123"/>
    <x v="0"/>
    <x v="7"/>
    <x v="0"/>
    <x v="0"/>
    <x v="296"/>
    <x v="286"/>
    <x v="44"/>
  </r>
  <r>
    <x v="84"/>
    <x v="6"/>
    <x v="6"/>
    <x v="4"/>
    <x v="147"/>
    <x v="18"/>
    <x v="154"/>
    <x v="111"/>
    <x v="124"/>
    <x v="64"/>
    <x v="10"/>
    <x v="0"/>
    <x v="0"/>
    <x v="297"/>
    <x v="287"/>
    <x v="45"/>
  </r>
  <r>
    <x v="84"/>
    <x v="6"/>
    <x v="6"/>
    <x v="1"/>
    <x v="148"/>
    <x v="18"/>
    <x v="155"/>
    <x v="112"/>
    <x v="125"/>
    <x v="0"/>
    <x v="10"/>
    <x v="0"/>
    <x v="0"/>
    <x v="298"/>
    <x v="288"/>
    <x v="44"/>
  </r>
  <r>
    <x v="84"/>
    <x v="12"/>
    <x v="12"/>
    <x v="1"/>
    <x v="149"/>
    <x v="2"/>
    <x v="156"/>
    <x v="113"/>
    <x v="126"/>
    <x v="0"/>
    <x v="3"/>
    <x v="0"/>
    <x v="0"/>
    <x v="299"/>
    <x v="289"/>
    <x v="11"/>
  </r>
  <r>
    <x v="84"/>
    <x v="1"/>
    <x v="1"/>
    <x v="4"/>
    <x v="150"/>
    <x v="28"/>
    <x v="157"/>
    <x v="108"/>
    <x v="127"/>
    <x v="0"/>
    <x v="0"/>
    <x v="0"/>
    <x v="0"/>
    <x v="300"/>
    <x v="290"/>
    <x v="19"/>
  </r>
  <r>
    <x v="84"/>
    <x v="5"/>
    <x v="5"/>
    <x v="2"/>
    <x v="5"/>
    <x v="6"/>
    <x v="6"/>
    <x v="0"/>
    <x v="0"/>
    <x v="0"/>
    <x v="0"/>
    <x v="0"/>
    <x v="0"/>
    <x v="301"/>
    <x v="291"/>
    <x v="6"/>
  </r>
  <r>
    <x v="84"/>
    <x v="5"/>
    <x v="5"/>
    <x v="2"/>
    <x v="5"/>
    <x v="6"/>
    <x v="6"/>
    <x v="0"/>
    <x v="0"/>
    <x v="0"/>
    <x v="0"/>
    <x v="0"/>
    <x v="0"/>
    <x v="302"/>
    <x v="292"/>
    <x v="6"/>
  </r>
  <r>
    <x v="84"/>
    <x v="5"/>
    <x v="5"/>
    <x v="2"/>
    <x v="5"/>
    <x v="6"/>
    <x v="6"/>
    <x v="0"/>
    <x v="0"/>
    <x v="0"/>
    <x v="0"/>
    <x v="0"/>
    <x v="0"/>
    <x v="303"/>
    <x v="293"/>
    <x v="6"/>
  </r>
  <r>
    <x v="84"/>
    <x v="5"/>
    <x v="5"/>
    <x v="5"/>
    <x v="5"/>
    <x v="6"/>
    <x v="6"/>
    <x v="0"/>
    <x v="0"/>
    <x v="0"/>
    <x v="0"/>
    <x v="0"/>
    <x v="0"/>
    <x v="304"/>
    <x v="294"/>
    <x v="6"/>
  </r>
  <r>
    <x v="84"/>
    <x v="5"/>
    <x v="5"/>
    <x v="5"/>
    <x v="5"/>
    <x v="6"/>
    <x v="6"/>
    <x v="0"/>
    <x v="0"/>
    <x v="0"/>
    <x v="0"/>
    <x v="0"/>
    <x v="0"/>
    <x v="250"/>
    <x v="295"/>
    <x v="6"/>
  </r>
  <r>
    <x v="84"/>
    <x v="5"/>
    <x v="5"/>
    <x v="5"/>
    <x v="5"/>
    <x v="6"/>
    <x v="6"/>
    <x v="0"/>
    <x v="0"/>
    <x v="0"/>
    <x v="0"/>
    <x v="0"/>
    <x v="0"/>
    <x v="259"/>
    <x v="296"/>
    <x v="6"/>
  </r>
  <r>
    <x v="84"/>
    <x v="5"/>
    <x v="5"/>
    <x v="5"/>
    <x v="5"/>
    <x v="6"/>
    <x v="6"/>
    <x v="0"/>
    <x v="0"/>
    <x v="0"/>
    <x v="0"/>
    <x v="0"/>
    <x v="0"/>
    <x v="274"/>
    <x v="297"/>
    <x v="6"/>
  </r>
  <r>
    <x v="84"/>
    <x v="5"/>
    <x v="5"/>
    <x v="5"/>
    <x v="5"/>
    <x v="6"/>
    <x v="6"/>
    <x v="0"/>
    <x v="0"/>
    <x v="0"/>
    <x v="0"/>
    <x v="0"/>
    <x v="0"/>
    <x v="290"/>
    <x v="298"/>
    <x v="6"/>
  </r>
  <r>
    <x v="84"/>
    <x v="5"/>
    <x v="5"/>
    <x v="5"/>
    <x v="5"/>
    <x v="6"/>
    <x v="6"/>
    <x v="0"/>
    <x v="0"/>
    <x v="0"/>
    <x v="0"/>
    <x v="0"/>
    <x v="0"/>
    <x v="296"/>
    <x v="299"/>
    <x v="6"/>
  </r>
  <r>
    <x v="84"/>
    <x v="5"/>
    <x v="5"/>
    <x v="6"/>
    <x v="5"/>
    <x v="6"/>
    <x v="6"/>
    <x v="0"/>
    <x v="0"/>
    <x v="0"/>
    <x v="0"/>
    <x v="0"/>
    <x v="0"/>
    <x v="305"/>
    <x v="300"/>
    <x v="6"/>
  </r>
  <r>
    <x v="84"/>
    <x v="5"/>
    <x v="5"/>
    <x v="6"/>
    <x v="5"/>
    <x v="6"/>
    <x v="6"/>
    <x v="0"/>
    <x v="0"/>
    <x v="0"/>
    <x v="0"/>
    <x v="0"/>
    <x v="0"/>
    <x v="306"/>
    <x v="301"/>
    <x v="6"/>
  </r>
  <r>
    <x v="84"/>
    <x v="5"/>
    <x v="5"/>
    <x v="6"/>
    <x v="5"/>
    <x v="6"/>
    <x v="6"/>
    <x v="0"/>
    <x v="0"/>
    <x v="0"/>
    <x v="0"/>
    <x v="0"/>
    <x v="0"/>
    <x v="307"/>
    <x v="302"/>
    <x v="6"/>
  </r>
  <r>
    <x v="84"/>
    <x v="5"/>
    <x v="5"/>
    <x v="6"/>
    <x v="5"/>
    <x v="6"/>
    <x v="6"/>
    <x v="0"/>
    <x v="0"/>
    <x v="0"/>
    <x v="0"/>
    <x v="0"/>
    <x v="0"/>
    <x v="308"/>
    <x v="303"/>
    <x v="6"/>
  </r>
  <r>
    <x v="84"/>
    <x v="5"/>
    <x v="5"/>
    <x v="6"/>
    <x v="5"/>
    <x v="6"/>
    <x v="6"/>
    <x v="0"/>
    <x v="0"/>
    <x v="0"/>
    <x v="0"/>
    <x v="0"/>
    <x v="0"/>
    <x v="309"/>
    <x v="304"/>
    <x v="6"/>
  </r>
  <r>
    <x v="85"/>
    <x v="1"/>
    <x v="1"/>
    <x v="10"/>
    <x v="56"/>
    <x v="29"/>
    <x v="158"/>
    <x v="114"/>
    <x v="128"/>
    <x v="0"/>
    <x v="0"/>
    <x v="0"/>
    <x v="0"/>
    <x v="310"/>
    <x v="305"/>
    <x v="46"/>
  </r>
  <r>
    <x v="85"/>
    <x v="6"/>
    <x v="6"/>
    <x v="1"/>
    <x v="151"/>
    <x v="5"/>
    <x v="159"/>
    <x v="115"/>
    <x v="129"/>
    <x v="0"/>
    <x v="7"/>
    <x v="0"/>
    <x v="0"/>
    <x v="311"/>
    <x v="306"/>
    <x v="42"/>
  </r>
  <r>
    <x v="85"/>
    <x v="5"/>
    <x v="5"/>
    <x v="2"/>
    <x v="5"/>
    <x v="6"/>
    <x v="6"/>
    <x v="0"/>
    <x v="0"/>
    <x v="0"/>
    <x v="0"/>
    <x v="0"/>
    <x v="0"/>
    <x v="312"/>
    <x v="305"/>
    <x v="6"/>
  </r>
  <r>
    <x v="86"/>
    <x v="6"/>
    <x v="6"/>
    <x v="1"/>
    <x v="152"/>
    <x v="5"/>
    <x v="160"/>
    <x v="116"/>
    <x v="130"/>
    <x v="0"/>
    <x v="7"/>
    <x v="0"/>
    <x v="0"/>
    <x v="313"/>
    <x v="307"/>
    <x v="47"/>
  </r>
  <r>
    <x v="86"/>
    <x v="6"/>
    <x v="6"/>
    <x v="4"/>
    <x v="153"/>
    <x v="5"/>
    <x v="161"/>
    <x v="2"/>
    <x v="63"/>
    <x v="65"/>
    <x v="7"/>
    <x v="0"/>
    <x v="0"/>
    <x v="314"/>
    <x v="308"/>
    <x v="42"/>
  </r>
  <r>
    <x v="86"/>
    <x v="6"/>
    <x v="6"/>
    <x v="4"/>
    <x v="154"/>
    <x v="5"/>
    <x v="162"/>
    <x v="2"/>
    <x v="63"/>
    <x v="66"/>
    <x v="7"/>
    <x v="0"/>
    <x v="0"/>
    <x v="315"/>
    <x v="309"/>
    <x v="44"/>
  </r>
  <r>
    <x v="86"/>
    <x v="5"/>
    <x v="5"/>
    <x v="2"/>
    <x v="5"/>
    <x v="6"/>
    <x v="6"/>
    <x v="0"/>
    <x v="0"/>
    <x v="0"/>
    <x v="0"/>
    <x v="0"/>
    <x v="0"/>
    <x v="316"/>
    <x v="310"/>
    <x v="6"/>
  </r>
  <r>
    <x v="86"/>
    <x v="5"/>
    <x v="5"/>
    <x v="5"/>
    <x v="5"/>
    <x v="6"/>
    <x v="6"/>
    <x v="0"/>
    <x v="0"/>
    <x v="0"/>
    <x v="0"/>
    <x v="0"/>
    <x v="0"/>
    <x v="317"/>
    <x v="311"/>
    <x v="6"/>
  </r>
  <r>
    <x v="86"/>
    <x v="5"/>
    <x v="5"/>
    <x v="5"/>
    <x v="5"/>
    <x v="6"/>
    <x v="6"/>
    <x v="0"/>
    <x v="0"/>
    <x v="0"/>
    <x v="0"/>
    <x v="0"/>
    <x v="0"/>
    <x v="318"/>
    <x v="312"/>
    <x v="6"/>
  </r>
  <r>
    <x v="87"/>
    <x v="6"/>
    <x v="6"/>
    <x v="4"/>
    <x v="155"/>
    <x v="5"/>
    <x v="163"/>
    <x v="2"/>
    <x v="131"/>
    <x v="67"/>
    <x v="7"/>
    <x v="0"/>
    <x v="0"/>
    <x v="319"/>
    <x v="313"/>
    <x v="41"/>
  </r>
  <r>
    <x v="87"/>
    <x v="1"/>
    <x v="1"/>
    <x v="4"/>
    <x v="156"/>
    <x v="29"/>
    <x v="164"/>
    <x v="117"/>
    <x v="132"/>
    <x v="0"/>
    <x v="0"/>
    <x v="0"/>
    <x v="0"/>
    <x v="320"/>
    <x v="314"/>
    <x v="19"/>
  </r>
  <r>
    <x v="87"/>
    <x v="5"/>
    <x v="5"/>
    <x v="5"/>
    <x v="5"/>
    <x v="6"/>
    <x v="6"/>
    <x v="0"/>
    <x v="0"/>
    <x v="0"/>
    <x v="0"/>
    <x v="0"/>
    <x v="0"/>
    <x v="321"/>
    <x v="315"/>
    <x v="6"/>
  </r>
  <r>
    <x v="87"/>
    <x v="5"/>
    <x v="5"/>
    <x v="6"/>
    <x v="5"/>
    <x v="6"/>
    <x v="6"/>
    <x v="0"/>
    <x v="0"/>
    <x v="0"/>
    <x v="0"/>
    <x v="0"/>
    <x v="0"/>
    <x v="322"/>
    <x v="316"/>
    <x v="6"/>
  </r>
  <r>
    <x v="87"/>
    <x v="5"/>
    <x v="5"/>
    <x v="5"/>
    <x v="5"/>
    <x v="6"/>
    <x v="6"/>
    <x v="0"/>
    <x v="0"/>
    <x v="0"/>
    <x v="0"/>
    <x v="0"/>
    <x v="0"/>
    <x v="323"/>
    <x v="317"/>
    <x v="6"/>
  </r>
  <r>
    <x v="87"/>
    <x v="5"/>
    <x v="5"/>
    <x v="5"/>
    <x v="5"/>
    <x v="6"/>
    <x v="6"/>
    <x v="0"/>
    <x v="0"/>
    <x v="0"/>
    <x v="0"/>
    <x v="0"/>
    <x v="0"/>
    <x v="324"/>
    <x v="318"/>
    <x v="6"/>
  </r>
  <r>
    <x v="88"/>
    <x v="12"/>
    <x v="12"/>
    <x v="4"/>
    <x v="157"/>
    <x v="2"/>
    <x v="165"/>
    <x v="118"/>
    <x v="133"/>
    <x v="68"/>
    <x v="3"/>
    <x v="0"/>
    <x v="0"/>
    <x v="325"/>
    <x v="319"/>
    <x v="2"/>
  </r>
  <r>
    <x v="88"/>
    <x v="6"/>
    <x v="6"/>
    <x v="4"/>
    <x v="158"/>
    <x v="2"/>
    <x v="166"/>
    <x v="119"/>
    <x v="134"/>
    <x v="69"/>
    <x v="3"/>
    <x v="0"/>
    <x v="0"/>
    <x v="326"/>
    <x v="320"/>
    <x v="39"/>
  </r>
  <r>
    <x v="88"/>
    <x v="6"/>
    <x v="6"/>
    <x v="4"/>
    <x v="159"/>
    <x v="30"/>
    <x v="167"/>
    <x v="120"/>
    <x v="135"/>
    <x v="70"/>
    <x v="15"/>
    <x v="0"/>
    <x v="0"/>
    <x v="327"/>
    <x v="321"/>
    <x v="12"/>
  </r>
  <r>
    <x v="88"/>
    <x v="6"/>
    <x v="6"/>
    <x v="4"/>
    <x v="160"/>
    <x v="5"/>
    <x v="168"/>
    <x v="2"/>
    <x v="136"/>
    <x v="71"/>
    <x v="7"/>
    <x v="0"/>
    <x v="0"/>
    <x v="328"/>
    <x v="322"/>
    <x v="48"/>
  </r>
  <r>
    <x v="88"/>
    <x v="5"/>
    <x v="5"/>
    <x v="6"/>
    <x v="5"/>
    <x v="6"/>
    <x v="6"/>
    <x v="0"/>
    <x v="0"/>
    <x v="0"/>
    <x v="0"/>
    <x v="0"/>
    <x v="0"/>
    <x v="329"/>
    <x v="323"/>
    <x v="6"/>
  </r>
  <r>
    <x v="88"/>
    <x v="5"/>
    <x v="5"/>
    <x v="6"/>
    <x v="5"/>
    <x v="6"/>
    <x v="6"/>
    <x v="0"/>
    <x v="0"/>
    <x v="0"/>
    <x v="0"/>
    <x v="0"/>
    <x v="0"/>
    <x v="330"/>
    <x v="324"/>
    <x v="6"/>
  </r>
  <r>
    <x v="88"/>
    <x v="5"/>
    <x v="5"/>
    <x v="6"/>
    <x v="5"/>
    <x v="6"/>
    <x v="6"/>
    <x v="0"/>
    <x v="0"/>
    <x v="0"/>
    <x v="0"/>
    <x v="0"/>
    <x v="0"/>
    <x v="331"/>
    <x v="325"/>
    <x v="6"/>
  </r>
  <r>
    <x v="88"/>
    <x v="5"/>
    <x v="5"/>
    <x v="6"/>
    <x v="5"/>
    <x v="6"/>
    <x v="6"/>
    <x v="0"/>
    <x v="0"/>
    <x v="0"/>
    <x v="0"/>
    <x v="0"/>
    <x v="0"/>
    <x v="332"/>
    <x v="326"/>
    <x v="6"/>
  </r>
  <r>
    <x v="88"/>
    <x v="5"/>
    <x v="5"/>
    <x v="5"/>
    <x v="5"/>
    <x v="6"/>
    <x v="6"/>
    <x v="0"/>
    <x v="0"/>
    <x v="0"/>
    <x v="0"/>
    <x v="0"/>
    <x v="0"/>
    <x v="333"/>
    <x v="327"/>
    <x v="6"/>
  </r>
  <r>
    <x v="88"/>
    <x v="5"/>
    <x v="5"/>
    <x v="5"/>
    <x v="5"/>
    <x v="6"/>
    <x v="6"/>
    <x v="0"/>
    <x v="0"/>
    <x v="0"/>
    <x v="0"/>
    <x v="0"/>
    <x v="0"/>
    <x v="334"/>
    <x v="328"/>
    <x v="6"/>
  </r>
  <r>
    <x v="88"/>
    <x v="5"/>
    <x v="5"/>
    <x v="5"/>
    <x v="5"/>
    <x v="6"/>
    <x v="6"/>
    <x v="0"/>
    <x v="0"/>
    <x v="0"/>
    <x v="0"/>
    <x v="0"/>
    <x v="0"/>
    <x v="299"/>
    <x v="329"/>
    <x v="6"/>
  </r>
  <r>
    <x v="88"/>
    <x v="5"/>
    <x v="5"/>
    <x v="5"/>
    <x v="5"/>
    <x v="6"/>
    <x v="6"/>
    <x v="0"/>
    <x v="0"/>
    <x v="0"/>
    <x v="0"/>
    <x v="0"/>
    <x v="0"/>
    <x v="311"/>
    <x v="330"/>
    <x v="6"/>
  </r>
  <r>
    <x v="88"/>
    <x v="5"/>
    <x v="5"/>
    <x v="5"/>
    <x v="5"/>
    <x v="6"/>
    <x v="6"/>
    <x v="0"/>
    <x v="0"/>
    <x v="0"/>
    <x v="0"/>
    <x v="0"/>
    <x v="0"/>
    <x v="313"/>
    <x v="331"/>
    <x v="6"/>
  </r>
  <r>
    <x v="89"/>
    <x v="6"/>
    <x v="6"/>
    <x v="1"/>
    <x v="161"/>
    <x v="5"/>
    <x v="169"/>
    <x v="121"/>
    <x v="137"/>
    <x v="0"/>
    <x v="7"/>
    <x v="0"/>
    <x v="0"/>
    <x v="335"/>
    <x v="332"/>
    <x v="12"/>
  </r>
  <r>
    <x v="89"/>
    <x v="6"/>
    <x v="6"/>
    <x v="1"/>
    <x v="162"/>
    <x v="2"/>
    <x v="170"/>
    <x v="122"/>
    <x v="138"/>
    <x v="0"/>
    <x v="3"/>
    <x v="0"/>
    <x v="0"/>
    <x v="336"/>
    <x v="333"/>
    <x v="24"/>
  </r>
  <r>
    <x v="89"/>
    <x v="6"/>
    <x v="6"/>
    <x v="4"/>
    <x v="163"/>
    <x v="31"/>
    <x v="171"/>
    <x v="123"/>
    <x v="139"/>
    <x v="72"/>
    <x v="16"/>
    <x v="0"/>
    <x v="0"/>
    <x v="337"/>
    <x v="334"/>
    <x v="48"/>
  </r>
  <r>
    <x v="89"/>
    <x v="12"/>
    <x v="12"/>
    <x v="4"/>
    <x v="164"/>
    <x v="2"/>
    <x v="172"/>
    <x v="124"/>
    <x v="140"/>
    <x v="73"/>
    <x v="3"/>
    <x v="0"/>
    <x v="0"/>
    <x v="338"/>
    <x v="335"/>
    <x v="6"/>
  </r>
  <r>
    <x v="89"/>
    <x v="5"/>
    <x v="5"/>
    <x v="2"/>
    <x v="5"/>
    <x v="6"/>
    <x v="6"/>
    <x v="0"/>
    <x v="0"/>
    <x v="0"/>
    <x v="0"/>
    <x v="0"/>
    <x v="0"/>
    <x v="339"/>
    <x v="336"/>
    <x v="6"/>
  </r>
  <r>
    <x v="89"/>
    <x v="5"/>
    <x v="5"/>
    <x v="2"/>
    <x v="5"/>
    <x v="6"/>
    <x v="6"/>
    <x v="0"/>
    <x v="0"/>
    <x v="0"/>
    <x v="0"/>
    <x v="0"/>
    <x v="0"/>
    <x v="340"/>
    <x v="337"/>
    <x v="6"/>
  </r>
  <r>
    <x v="89"/>
    <x v="5"/>
    <x v="5"/>
    <x v="5"/>
    <x v="5"/>
    <x v="6"/>
    <x v="6"/>
    <x v="0"/>
    <x v="0"/>
    <x v="0"/>
    <x v="0"/>
    <x v="0"/>
    <x v="0"/>
    <x v="341"/>
    <x v="338"/>
    <x v="6"/>
  </r>
  <r>
    <x v="89"/>
    <x v="5"/>
    <x v="5"/>
    <x v="5"/>
    <x v="5"/>
    <x v="6"/>
    <x v="6"/>
    <x v="0"/>
    <x v="0"/>
    <x v="0"/>
    <x v="0"/>
    <x v="0"/>
    <x v="0"/>
    <x v="335"/>
    <x v="339"/>
    <x v="6"/>
  </r>
  <r>
    <x v="89"/>
    <x v="5"/>
    <x v="5"/>
    <x v="5"/>
    <x v="5"/>
    <x v="6"/>
    <x v="6"/>
    <x v="0"/>
    <x v="0"/>
    <x v="0"/>
    <x v="0"/>
    <x v="0"/>
    <x v="0"/>
    <x v="342"/>
    <x v="340"/>
    <x v="6"/>
  </r>
  <r>
    <x v="89"/>
    <x v="5"/>
    <x v="5"/>
    <x v="5"/>
    <x v="5"/>
    <x v="6"/>
    <x v="6"/>
    <x v="0"/>
    <x v="0"/>
    <x v="0"/>
    <x v="0"/>
    <x v="0"/>
    <x v="0"/>
    <x v="343"/>
    <x v="335"/>
    <x v="6"/>
  </r>
  <r>
    <x v="90"/>
    <x v="6"/>
    <x v="6"/>
    <x v="1"/>
    <x v="165"/>
    <x v="5"/>
    <x v="173"/>
    <x v="125"/>
    <x v="141"/>
    <x v="0"/>
    <x v="7"/>
    <x v="0"/>
    <x v="0"/>
    <x v="344"/>
    <x v="341"/>
    <x v="12"/>
  </r>
  <r>
    <x v="90"/>
    <x v="5"/>
    <x v="5"/>
    <x v="2"/>
    <x v="5"/>
    <x v="6"/>
    <x v="6"/>
    <x v="0"/>
    <x v="0"/>
    <x v="0"/>
    <x v="0"/>
    <x v="0"/>
    <x v="0"/>
    <x v="345"/>
    <x v="335"/>
    <x v="6"/>
  </r>
  <r>
    <x v="91"/>
    <x v="6"/>
    <x v="6"/>
    <x v="4"/>
    <x v="10"/>
    <x v="5"/>
    <x v="174"/>
    <x v="2"/>
    <x v="63"/>
    <x v="74"/>
    <x v="7"/>
    <x v="0"/>
    <x v="0"/>
    <x v="346"/>
    <x v="342"/>
    <x v="48"/>
  </r>
  <r>
    <x v="91"/>
    <x v="5"/>
    <x v="5"/>
    <x v="6"/>
    <x v="5"/>
    <x v="6"/>
    <x v="6"/>
    <x v="0"/>
    <x v="0"/>
    <x v="0"/>
    <x v="0"/>
    <x v="0"/>
    <x v="0"/>
    <x v="347"/>
    <x v="343"/>
    <x v="6"/>
  </r>
  <r>
    <x v="91"/>
    <x v="5"/>
    <x v="5"/>
    <x v="5"/>
    <x v="5"/>
    <x v="6"/>
    <x v="6"/>
    <x v="0"/>
    <x v="0"/>
    <x v="0"/>
    <x v="0"/>
    <x v="0"/>
    <x v="0"/>
    <x v="344"/>
    <x v="344"/>
    <x v="6"/>
  </r>
  <r>
    <x v="92"/>
    <x v="6"/>
    <x v="6"/>
    <x v="1"/>
    <x v="166"/>
    <x v="7"/>
    <x v="175"/>
    <x v="126"/>
    <x v="142"/>
    <x v="0"/>
    <x v="2"/>
    <x v="0"/>
    <x v="0"/>
    <x v="348"/>
    <x v="345"/>
    <x v="49"/>
  </r>
  <r>
    <x v="92"/>
    <x v="1"/>
    <x v="1"/>
    <x v="4"/>
    <x v="167"/>
    <x v="17"/>
    <x v="176"/>
    <x v="127"/>
    <x v="143"/>
    <x v="0"/>
    <x v="0"/>
    <x v="0"/>
    <x v="0"/>
    <x v="349"/>
    <x v="346"/>
    <x v="6"/>
  </r>
  <r>
    <x v="92"/>
    <x v="6"/>
    <x v="6"/>
    <x v="1"/>
    <x v="168"/>
    <x v="32"/>
    <x v="177"/>
    <x v="128"/>
    <x v="144"/>
    <x v="0"/>
    <x v="17"/>
    <x v="0"/>
    <x v="0"/>
    <x v="350"/>
    <x v="347"/>
    <x v="50"/>
  </r>
  <r>
    <x v="92"/>
    <x v="5"/>
    <x v="5"/>
    <x v="2"/>
    <x v="5"/>
    <x v="6"/>
    <x v="6"/>
    <x v="0"/>
    <x v="0"/>
    <x v="0"/>
    <x v="0"/>
    <x v="0"/>
    <x v="0"/>
    <x v="351"/>
    <x v="348"/>
    <x v="6"/>
  </r>
  <r>
    <x v="92"/>
    <x v="5"/>
    <x v="5"/>
    <x v="2"/>
    <x v="5"/>
    <x v="6"/>
    <x v="6"/>
    <x v="0"/>
    <x v="0"/>
    <x v="0"/>
    <x v="0"/>
    <x v="0"/>
    <x v="0"/>
    <x v="352"/>
    <x v="349"/>
    <x v="6"/>
  </r>
  <r>
    <x v="93"/>
    <x v="6"/>
    <x v="6"/>
    <x v="4"/>
    <x v="169"/>
    <x v="7"/>
    <x v="178"/>
    <x v="129"/>
    <x v="145"/>
    <x v="75"/>
    <x v="2"/>
    <x v="0"/>
    <x v="0"/>
    <x v="353"/>
    <x v="350"/>
    <x v="51"/>
  </r>
  <r>
    <x v="93"/>
    <x v="6"/>
    <x v="6"/>
    <x v="1"/>
    <x v="170"/>
    <x v="7"/>
    <x v="179"/>
    <x v="130"/>
    <x v="146"/>
    <x v="0"/>
    <x v="2"/>
    <x v="0"/>
    <x v="0"/>
    <x v="354"/>
    <x v="351"/>
    <x v="50"/>
  </r>
  <r>
    <x v="93"/>
    <x v="5"/>
    <x v="5"/>
    <x v="2"/>
    <x v="5"/>
    <x v="6"/>
    <x v="6"/>
    <x v="0"/>
    <x v="0"/>
    <x v="0"/>
    <x v="0"/>
    <x v="0"/>
    <x v="0"/>
    <x v="355"/>
    <x v="350"/>
    <x v="6"/>
  </r>
  <r>
    <x v="93"/>
    <x v="5"/>
    <x v="5"/>
    <x v="5"/>
    <x v="5"/>
    <x v="6"/>
    <x v="6"/>
    <x v="0"/>
    <x v="0"/>
    <x v="0"/>
    <x v="0"/>
    <x v="0"/>
    <x v="0"/>
    <x v="348"/>
    <x v="352"/>
    <x v="6"/>
  </r>
  <r>
    <x v="93"/>
    <x v="5"/>
    <x v="5"/>
    <x v="5"/>
    <x v="5"/>
    <x v="6"/>
    <x v="6"/>
    <x v="0"/>
    <x v="0"/>
    <x v="0"/>
    <x v="0"/>
    <x v="0"/>
    <x v="0"/>
    <x v="356"/>
    <x v="353"/>
    <x v="6"/>
  </r>
  <r>
    <x v="93"/>
    <x v="5"/>
    <x v="5"/>
    <x v="6"/>
    <x v="5"/>
    <x v="6"/>
    <x v="6"/>
    <x v="0"/>
    <x v="0"/>
    <x v="0"/>
    <x v="0"/>
    <x v="0"/>
    <x v="0"/>
    <x v="357"/>
    <x v="354"/>
    <x v="6"/>
  </r>
  <r>
    <x v="94"/>
    <x v="6"/>
    <x v="6"/>
    <x v="4"/>
    <x v="171"/>
    <x v="2"/>
    <x v="180"/>
    <x v="131"/>
    <x v="147"/>
    <x v="76"/>
    <x v="3"/>
    <x v="0"/>
    <x v="0"/>
    <x v="358"/>
    <x v="355"/>
    <x v="52"/>
  </r>
  <r>
    <x v="94"/>
    <x v="6"/>
    <x v="6"/>
    <x v="4"/>
    <x v="172"/>
    <x v="7"/>
    <x v="181"/>
    <x v="132"/>
    <x v="148"/>
    <x v="77"/>
    <x v="2"/>
    <x v="0"/>
    <x v="0"/>
    <x v="359"/>
    <x v="356"/>
    <x v="24"/>
  </r>
  <r>
    <x v="94"/>
    <x v="5"/>
    <x v="5"/>
    <x v="5"/>
    <x v="5"/>
    <x v="6"/>
    <x v="6"/>
    <x v="0"/>
    <x v="0"/>
    <x v="0"/>
    <x v="0"/>
    <x v="0"/>
    <x v="0"/>
    <x v="360"/>
    <x v="357"/>
    <x v="6"/>
  </r>
  <r>
    <x v="94"/>
    <x v="5"/>
    <x v="5"/>
    <x v="5"/>
    <x v="5"/>
    <x v="6"/>
    <x v="6"/>
    <x v="0"/>
    <x v="0"/>
    <x v="0"/>
    <x v="0"/>
    <x v="0"/>
    <x v="0"/>
    <x v="361"/>
    <x v="358"/>
    <x v="6"/>
  </r>
  <r>
    <x v="95"/>
    <x v="6"/>
    <x v="6"/>
    <x v="1"/>
    <x v="173"/>
    <x v="7"/>
    <x v="182"/>
    <x v="133"/>
    <x v="149"/>
    <x v="0"/>
    <x v="2"/>
    <x v="0"/>
    <x v="0"/>
    <x v="362"/>
    <x v="359"/>
    <x v="52"/>
  </r>
  <r>
    <x v="95"/>
    <x v="6"/>
    <x v="6"/>
    <x v="4"/>
    <x v="170"/>
    <x v="33"/>
    <x v="183"/>
    <x v="134"/>
    <x v="150"/>
    <x v="78"/>
    <x v="18"/>
    <x v="0"/>
    <x v="0"/>
    <x v="363"/>
    <x v="360"/>
    <x v="10"/>
  </r>
  <r>
    <x v="95"/>
    <x v="6"/>
    <x v="6"/>
    <x v="1"/>
    <x v="174"/>
    <x v="2"/>
    <x v="184"/>
    <x v="135"/>
    <x v="151"/>
    <x v="0"/>
    <x v="3"/>
    <x v="0"/>
    <x v="0"/>
    <x v="364"/>
    <x v="361"/>
    <x v="8"/>
  </r>
  <r>
    <x v="95"/>
    <x v="5"/>
    <x v="5"/>
    <x v="2"/>
    <x v="5"/>
    <x v="6"/>
    <x v="6"/>
    <x v="0"/>
    <x v="0"/>
    <x v="0"/>
    <x v="0"/>
    <x v="0"/>
    <x v="0"/>
    <x v="365"/>
    <x v="362"/>
    <x v="6"/>
  </r>
  <r>
    <x v="95"/>
    <x v="5"/>
    <x v="5"/>
    <x v="2"/>
    <x v="5"/>
    <x v="6"/>
    <x v="6"/>
    <x v="0"/>
    <x v="0"/>
    <x v="0"/>
    <x v="0"/>
    <x v="0"/>
    <x v="0"/>
    <x v="366"/>
    <x v="363"/>
    <x v="6"/>
  </r>
  <r>
    <x v="95"/>
    <x v="5"/>
    <x v="5"/>
    <x v="6"/>
    <x v="5"/>
    <x v="6"/>
    <x v="6"/>
    <x v="0"/>
    <x v="0"/>
    <x v="0"/>
    <x v="0"/>
    <x v="0"/>
    <x v="0"/>
    <x v="367"/>
    <x v="364"/>
    <x v="6"/>
  </r>
  <r>
    <x v="95"/>
    <x v="5"/>
    <x v="5"/>
    <x v="6"/>
    <x v="5"/>
    <x v="6"/>
    <x v="6"/>
    <x v="0"/>
    <x v="0"/>
    <x v="0"/>
    <x v="0"/>
    <x v="0"/>
    <x v="0"/>
    <x v="368"/>
    <x v="365"/>
    <x v="6"/>
  </r>
  <r>
    <x v="95"/>
    <x v="5"/>
    <x v="5"/>
    <x v="5"/>
    <x v="5"/>
    <x v="6"/>
    <x v="6"/>
    <x v="0"/>
    <x v="0"/>
    <x v="0"/>
    <x v="0"/>
    <x v="0"/>
    <x v="0"/>
    <x v="369"/>
    <x v="366"/>
    <x v="6"/>
  </r>
  <r>
    <x v="95"/>
    <x v="5"/>
    <x v="5"/>
    <x v="5"/>
    <x v="5"/>
    <x v="6"/>
    <x v="6"/>
    <x v="0"/>
    <x v="0"/>
    <x v="0"/>
    <x v="0"/>
    <x v="0"/>
    <x v="0"/>
    <x v="354"/>
    <x v="367"/>
    <x v="6"/>
  </r>
  <r>
    <x v="95"/>
    <x v="5"/>
    <x v="5"/>
    <x v="5"/>
    <x v="5"/>
    <x v="6"/>
    <x v="6"/>
    <x v="0"/>
    <x v="0"/>
    <x v="0"/>
    <x v="0"/>
    <x v="0"/>
    <x v="0"/>
    <x v="362"/>
    <x v="368"/>
    <x v="6"/>
  </r>
  <r>
    <x v="96"/>
    <x v="6"/>
    <x v="6"/>
    <x v="1"/>
    <x v="136"/>
    <x v="2"/>
    <x v="185"/>
    <x v="136"/>
    <x v="152"/>
    <x v="0"/>
    <x v="3"/>
    <x v="0"/>
    <x v="0"/>
    <x v="370"/>
    <x v="369"/>
    <x v="12"/>
  </r>
  <r>
    <x v="96"/>
    <x v="5"/>
    <x v="5"/>
    <x v="2"/>
    <x v="5"/>
    <x v="6"/>
    <x v="6"/>
    <x v="0"/>
    <x v="0"/>
    <x v="0"/>
    <x v="0"/>
    <x v="0"/>
    <x v="0"/>
    <x v="371"/>
    <x v="368"/>
    <x v="6"/>
  </r>
  <r>
    <x v="97"/>
    <x v="6"/>
    <x v="6"/>
    <x v="4"/>
    <x v="175"/>
    <x v="2"/>
    <x v="186"/>
    <x v="137"/>
    <x v="153"/>
    <x v="79"/>
    <x v="3"/>
    <x v="0"/>
    <x v="0"/>
    <x v="372"/>
    <x v="370"/>
    <x v="8"/>
  </r>
  <r>
    <x v="97"/>
    <x v="5"/>
    <x v="5"/>
    <x v="5"/>
    <x v="5"/>
    <x v="6"/>
    <x v="6"/>
    <x v="0"/>
    <x v="0"/>
    <x v="0"/>
    <x v="0"/>
    <x v="0"/>
    <x v="0"/>
    <x v="373"/>
    <x v="371"/>
    <x v="6"/>
  </r>
  <r>
    <x v="97"/>
    <x v="5"/>
    <x v="5"/>
    <x v="5"/>
    <x v="5"/>
    <x v="6"/>
    <x v="6"/>
    <x v="0"/>
    <x v="0"/>
    <x v="0"/>
    <x v="0"/>
    <x v="0"/>
    <x v="0"/>
    <x v="374"/>
    <x v="372"/>
    <x v="6"/>
  </r>
  <r>
    <x v="97"/>
    <x v="5"/>
    <x v="5"/>
    <x v="5"/>
    <x v="5"/>
    <x v="6"/>
    <x v="6"/>
    <x v="0"/>
    <x v="0"/>
    <x v="0"/>
    <x v="0"/>
    <x v="0"/>
    <x v="0"/>
    <x v="375"/>
    <x v="373"/>
    <x v="6"/>
  </r>
  <r>
    <x v="97"/>
    <x v="5"/>
    <x v="5"/>
    <x v="5"/>
    <x v="5"/>
    <x v="6"/>
    <x v="6"/>
    <x v="0"/>
    <x v="0"/>
    <x v="0"/>
    <x v="0"/>
    <x v="0"/>
    <x v="0"/>
    <x v="376"/>
    <x v="374"/>
    <x v="6"/>
  </r>
  <r>
    <x v="97"/>
    <x v="5"/>
    <x v="5"/>
    <x v="6"/>
    <x v="5"/>
    <x v="6"/>
    <x v="6"/>
    <x v="0"/>
    <x v="0"/>
    <x v="0"/>
    <x v="0"/>
    <x v="0"/>
    <x v="0"/>
    <x v="377"/>
    <x v="375"/>
    <x v="6"/>
  </r>
  <r>
    <x v="98"/>
    <x v="6"/>
    <x v="6"/>
    <x v="1"/>
    <x v="176"/>
    <x v="7"/>
    <x v="187"/>
    <x v="138"/>
    <x v="154"/>
    <x v="0"/>
    <x v="2"/>
    <x v="0"/>
    <x v="0"/>
    <x v="378"/>
    <x v="376"/>
    <x v="11"/>
  </r>
  <r>
    <x v="98"/>
    <x v="5"/>
    <x v="5"/>
    <x v="2"/>
    <x v="5"/>
    <x v="6"/>
    <x v="6"/>
    <x v="0"/>
    <x v="0"/>
    <x v="0"/>
    <x v="0"/>
    <x v="0"/>
    <x v="0"/>
    <x v="379"/>
    <x v="375"/>
    <x v="6"/>
  </r>
  <r>
    <x v="99"/>
    <x v="1"/>
    <x v="1"/>
    <x v="10"/>
    <x v="177"/>
    <x v="34"/>
    <x v="188"/>
    <x v="139"/>
    <x v="155"/>
    <x v="0"/>
    <x v="0"/>
    <x v="0"/>
    <x v="0"/>
    <x v="380"/>
    <x v="377"/>
    <x v="53"/>
  </r>
  <r>
    <x v="100"/>
    <x v="1"/>
    <x v="1"/>
    <x v="4"/>
    <x v="178"/>
    <x v="35"/>
    <x v="189"/>
    <x v="140"/>
    <x v="156"/>
    <x v="0"/>
    <x v="0"/>
    <x v="0"/>
    <x v="0"/>
    <x v="381"/>
    <x v="378"/>
    <x v="54"/>
  </r>
  <r>
    <x v="100"/>
    <x v="1"/>
    <x v="1"/>
    <x v="4"/>
    <x v="179"/>
    <x v="35"/>
    <x v="190"/>
    <x v="141"/>
    <x v="157"/>
    <x v="0"/>
    <x v="0"/>
    <x v="0"/>
    <x v="0"/>
    <x v="382"/>
    <x v="379"/>
    <x v="6"/>
  </r>
  <r>
    <x v="101"/>
    <x v="6"/>
    <x v="6"/>
    <x v="10"/>
    <x v="75"/>
    <x v="5"/>
    <x v="78"/>
    <x v="2"/>
    <x v="63"/>
    <x v="0"/>
    <x v="7"/>
    <x v="0"/>
    <x v="0"/>
    <x v="383"/>
    <x v="380"/>
    <x v="48"/>
  </r>
  <r>
    <x v="102"/>
    <x v="6"/>
    <x v="6"/>
    <x v="10"/>
    <x v="180"/>
    <x v="5"/>
    <x v="191"/>
    <x v="2"/>
    <x v="66"/>
    <x v="0"/>
    <x v="7"/>
    <x v="0"/>
    <x v="0"/>
    <x v="384"/>
    <x v="381"/>
    <x v="12"/>
  </r>
  <r>
    <x v="103"/>
    <x v="6"/>
    <x v="6"/>
    <x v="10"/>
    <x v="181"/>
    <x v="2"/>
    <x v="192"/>
    <x v="142"/>
    <x v="158"/>
    <x v="0"/>
    <x v="19"/>
    <x v="0"/>
    <x v="0"/>
    <x v="385"/>
    <x v="382"/>
    <x v="24"/>
  </r>
  <r>
    <x v="103"/>
    <x v="6"/>
    <x v="6"/>
    <x v="1"/>
    <x v="182"/>
    <x v="8"/>
    <x v="193"/>
    <x v="143"/>
    <x v="159"/>
    <x v="0"/>
    <x v="20"/>
    <x v="0"/>
    <x v="0"/>
    <x v="386"/>
    <x v="383"/>
    <x v="50"/>
  </r>
  <r>
    <x v="103"/>
    <x v="5"/>
    <x v="5"/>
    <x v="2"/>
    <x v="5"/>
    <x v="6"/>
    <x v="6"/>
    <x v="0"/>
    <x v="0"/>
    <x v="0"/>
    <x v="0"/>
    <x v="0"/>
    <x v="0"/>
    <x v="387"/>
    <x v="382"/>
    <x v="6"/>
  </r>
  <r>
    <x v="104"/>
    <x v="6"/>
    <x v="6"/>
    <x v="4"/>
    <x v="183"/>
    <x v="5"/>
    <x v="194"/>
    <x v="2"/>
    <x v="64"/>
    <x v="80"/>
    <x v="21"/>
    <x v="0"/>
    <x v="0"/>
    <x v="388"/>
    <x v="384"/>
    <x v="55"/>
  </r>
  <r>
    <x v="104"/>
    <x v="6"/>
    <x v="6"/>
    <x v="4"/>
    <x v="184"/>
    <x v="5"/>
    <x v="195"/>
    <x v="2"/>
    <x v="64"/>
    <x v="81"/>
    <x v="21"/>
    <x v="0"/>
    <x v="0"/>
    <x v="389"/>
    <x v="385"/>
    <x v="51"/>
  </r>
  <r>
    <x v="104"/>
    <x v="6"/>
    <x v="6"/>
    <x v="4"/>
    <x v="185"/>
    <x v="5"/>
    <x v="196"/>
    <x v="2"/>
    <x v="64"/>
    <x v="82"/>
    <x v="21"/>
    <x v="0"/>
    <x v="0"/>
    <x v="390"/>
    <x v="386"/>
    <x v="56"/>
  </r>
  <r>
    <x v="104"/>
    <x v="6"/>
    <x v="6"/>
    <x v="4"/>
    <x v="186"/>
    <x v="5"/>
    <x v="197"/>
    <x v="2"/>
    <x v="37"/>
    <x v="83"/>
    <x v="21"/>
    <x v="0"/>
    <x v="0"/>
    <x v="391"/>
    <x v="387"/>
    <x v="52"/>
  </r>
  <r>
    <x v="104"/>
    <x v="5"/>
    <x v="5"/>
    <x v="5"/>
    <x v="5"/>
    <x v="6"/>
    <x v="6"/>
    <x v="0"/>
    <x v="0"/>
    <x v="0"/>
    <x v="0"/>
    <x v="0"/>
    <x v="0"/>
    <x v="392"/>
    <x v="388"/>
    <x v="6"/>
  </r>
  <r>
    <x v="104"/>
    <x v="5"/>
    <x v="5"/>
    <x v="5"/>
    <x v="5"/>
    <x v="6"/>
    <x v="6"/>
    <x v="0"/>
    <x v="0"/>
    <x v="0"/>
    <x v="0"/>
    <x v="0"/>
    <x v="0"/>
    <x v="393"/>
    <x v="389"/>
    <x v="6"/>
  </r>
  <r>
    <x v="104"/>
    <x v="5"/>
    <x v="5"/>
    <x v="5"/>
    <x v="5"/>
    <x v="6"/>
    <x v="6"/>
    <x v="0"/>
    <x v="0"/>
    <x v="0"/>
    <x v="0"/>
    <x v="0"/>
    <x v="0"/>
    <x v="394"/>
    <x v="390"/>
    <x v="6"/>
  </r>
  <r>
    <x v="104"/>
    <x v="5"/>
    <x v="5"/>
    <x v="5"/>
    <x v="5"/>
    <x v="6"/>
    <x v="6"/>
    <x v="0"/>
    <x v="0"/>
    <x v="0"/>
    <x v="0"/>
    <x v="0"/>
    <x v="0"/>
    <x v="395"/>
    <x v="391"/>
    <x v="6"/>
  </r>
  <r>
    <x v="104"/>
    <x v="5"/>
    <x v="5"/>
    <x v="5"/>
    <x v="5"/>
    <x v="6"/>
    <x v="6"/>
    <x v="0"/>
    <x v="0"/>
    <x v="0"/>
    <x v="0"/>
    <x v="0"/>
    <x v="0"/>
    <x v="396"/>
    <x v="392"/>
    <x v="6"/>
  </r>
  <r>
    <x v="104"/>
    <x v="5"/>
    <x v="5"/>
    <x v="6"/>
    <x v="5"/>
    <x v="6"/>
    <x v="6"/>
    <x v="0"/>
    <x v="0"/>
    <x v="0"/>
    <x v="0"/>
    <x v="0"/>
    <x v="0"/>
    <x v="397"/>
    <x v="393"/>
    <x v="6"/>
  </r>
  <r>
    <x v="105"/>
    <x v="5"/>
    <x v="5"/>
    <x v="12"/>
    <x v="5"/>
    <x v="6"/>
    <x v="6"/>
    <x v="0"/>
    <x v="0"/>
    <x v="0"/>
    <x v="0"/>
    <x v="0"/>
    <x v="0"/>
    <x v="398"/>
    <x v="394"/>
    <x v="6"/>
  </r>
  <r>
    <x v="105"/>
    <x v="6"/>
    <x v="6"/>
    <x v="4"/>
    <x v="187"/>
    <x v="8"/>
    <x v="198"/>
    <x v="144"/>
    <x v="160"/>
    <x v="84"/>
    <x v="22"/>
    <x v="0"/>
    <x v="0"/>
    <x v="399"/>
    <x v="395"/>
    <x v="12"/>
  </r>
  <r>
    <x v="105"/>
    <x v="6"/>
    <x v="6"/>
    <x v="4"/>
    <x v="188"/>
    <x v="5"/>
    <x v="199"/>
    <x v="2"/>
    <x v="161"/>
    <x v="85"/>
    <x v="23"/>
    <x v="0"/>
    <x v="0"/>
    <x v="400"/>
    <x v="396"/>
    <x v="48"/>
  </r>
  <r>
    <x v="105"/>
    <x v="6"/>
    <x v="6"/>
    <x v="4"/>
    <x v="86"/>
    <x v="5"/>
    <x v="89"/>
    <x v="2"/>
    <x v="162"/>
    <x v="37"/>
    <x v="23"/>
    <x v="0"/>
    <x v="0"/>
    <x v="401"/>
    <x v="397"/>
    <x v="11"/>
  </r>
  <r>
    <x v="105"/>
    <x v="6"/>
    <x v="6"/>
    <x v="10"/>
    <x v="189"/>
    <x v="5"/>
    <x v="36"/>
    <x v="2"/>
    <x v="37"/>
    <x v="0"/>
    <x v="21"/>
    <x v="0"/>
    <x v="0"/>
    <x v="402"/>
    <x v="398"/>
    <x v="48"/>
  </r>
  <r>
    <x v="105"/>
    <x v="6"/>
    <x v="6"/>
    <x v="10"/>
    <x v="190"/>
    <x v="5"/>
    <x v="200"/>
    <x v="2"/>
    <x v="64"/>
    <x v="0"/>
    <x v="21"/>
    <x v="0"/>
    <x v="0"/>
    <x v="403"/>
    <x v="399"/>
    <x v="12"/>
  </r>
  <r>
    <x v="105"/>
    <x v="5"/>
    <x v="5"/>
    <x v="6"/>
    <x v="5"/>
    <x v="6"/>
    <x v="6"/>
    <x v="0"/>
    <x v="0"/>
    <x v="0"/>
    <x v="0"/>
    <x v="0"/>
    <x v="0"/>
    <x v="404"/>
    <x v="400"/>
    <x v="6"/>
  </r>
  <r>
    <x v="105"/>
    <x v="5"/>
    <x v="5"/>
    <x v="6"/>
    <x v="5"/>
    <x v="6"/>
    <x v="6"/>
    <x v="0"/>
    <x v="0"/>
    <x v="0"/>
    <x v="0"/>
    <x v="0"/>
    <x v="0"/>
    <x v="405"/>
    <x v="401"/>
    <x v="6"/>
  </r>
  <r>
    <x v="105"/>
    <x v="5"/>
    <x v="5"/>
    <x v="5"/>
    <x v="5"/>
    <x v="6"/>
    <x v="6"/>
    <x v="0"/>
    <x v="0"/>
    <x v="0"/>
    <x v="0"/>
    <x v="0"/>
    <x v="0"/>
    <x v="406"/>
    <x v="402"/>
    <x v="6"/>
  </r>
  <r>
    <x v="105"/>
    <x v="5"/>
    <x v="5"/>
    <x v="5"/>
    <x v="5"/>
    <x v="6"/>
    <x v="6"/>
    <x v="0"/>
    <x v="0"/>
    <x v="0"/>
    <x v="0"/>
    <x v="0"/>
    <x v="0"/>
    <x v="407"/>
    <x v="403"/>
    <x v="6"/>
  </r>
  <r>
    <x v="105"/>
    <x v="5"/>
    <x v="5"/>
    <x v="5"/>
    <x v="5"/>
    <x v="6"/>
    <x v="6"/>
    <x v="0"/>
    <x v="0"/>
    <x v="0"/>
    <x v="0"/>
    <x v="0"/>
    <x v="0"/>
    <x v="408"/>
    <x v="404"/>
    <x v="6"/>
  </r>
  <r>
    <x v="105"/>
    <x v="5"/>
    <x v="5"/>
    <x v="5"/>
    <x v="5"/>
    <x v="6"/>
    <x v="6"/>
    <x v="0"/>
    <x v="0"/>
    <x v="0"/>
    <x v="0"/>
    <x v="0"/>
    <x v="0"/>
    <x v="409"/>
    <x v="405"/>
    <x v="6"/>
  </r>
  <r>
    <x v="105"/>
    <x v="5"/>
    <x v="5"/>
    <x v="5"/>
    <x v="5"/>
    <x v="6"/>
    <x v="6"/>
    <x v="0"/>
    <x v="0"/>
    <x v="0"/>
    <x v="0"/>
    <x v="0"/>
    <x v="0"/>
    <x v="410"/>
    <x v="406"/>
    <x v="6"/>
  </r>
  <r>
    <x v="105"/>
    <x v="5"/>
    <x v="5"/>
    <x v="5"/>
    <x v="5"/>
    <x v="6"/>
    <x v="6"/>
    <x v="0"/>
    <x v="0"/>
    <x v="0"/>
    <x v="0"/>
    <x v="0"/>
    <x v="0"/>
    <x v="411"/>
    <x v="407"/>
    <x v="6"/>
  </r>
  <r>
    <x v="105"/>
    <x v="5"/>
    <x v="5"/>
    <x v="5"/>
    <x v="5"/>
    <x v="6"/>
    <x v="6"/>
    <x v="0"/>
    <x v="0"/>
    <x v="0"/>
    <x v="0"/>
    <x v="0"/>
    <x v="0"/>
    <x v="412"/>
    <x v="408"/>
    <x v="6"/>
  </r>
  <r>
    <x v="106"/>
    <x v="6"/>
    <x v="6"/>
    <x v="1"/>
    <x v="191"/>
    <x v="7"/>
    <x v="201"/>
    <x v="145"/>
    <x v="163"/>
    <x v="0"/>
    <x v="24"/>
    <x v="0"/>
    <x v="0"/>
    <x v="413"/>
    <x v="409"/>
    <x v="14"/>
  </r>
  <r>
    <x v="106"/>
    <x v="6"/>
    <x v="6"/>
    <x v="4"/>
    <x v="192"/>
    <x v="7"/>
    <x v="202"/>
    <x v="146"/>
    <x v="164"/>
    <x v="86"/>
    <x v="25"/>
    <x v="0"/>
    <x v="0"/>
    <x v="414"/>
    <x v="410"/>
    <x v="12"/>
  </r>
  <r>
    <x v="106"/>
    <x v="6"/>
    <x v="6"/>
    <x v="4"/>
    <x v="193"/>
    <x v="5"/>
    <x v="203"/>
    <x v="2"/>
    <x v="114"/>
    <x v="87"/>
    <x v="23"/>
    <x v="0"/>
    <x v="0"/>
    <x v="415"/>
    <x v="411"/>
    <x v="48"/>
  </r>
  <r>
    <x v="106"/>
    <x v="12"/>
    <x v="12"/>
    <x v="1"/>
    <x v="194"/>
    <x v="7"/>
    <x v="204"/>
    <x v="147"/>
    <x v="165"/>
    <x v="0"/>
    <x v="26"/>
    <x v="0"/>
    <x v="0"/>
    <x v="416"/>
    <x v="412"/>
    <x v="10"/>
  </r>
  <r>
    <x v="106"/>
    <x v="5"/>
    <x v="5"/>
    <x v="2"/>
    <x v="5"/>
    <x v="6"/>
    <x v="6"/>
    <x v="0"/>
    <x v="0"/>
    <x v="0"/>
    <x v="0"/>
    <x v="0"/>
    <x v="0"/>
    <x v="417"/>
    <x v="413"/>
    <x v="6"/>
  </r>
  <r>
    <x v="106"/>
    <x v="5"/>
    <x v="5"/>
    <x v="2"/>
    <x v="5"/>
    <x v="6"/>
    <x v="6"/>
    <x v="0"/>
    <x v="0"/>
    <x v="0"/>
    <x v="0"/>
    <x v="0"/>
    <x v="0"/>
    <x v="418"/>
    <x v="414"/>
    <x v="6"/>
  </r>
  <r>
    <x v="106"/>
    <x v="5"/>
    <x v="5"/>
    <x v="5"/>
    <x v="5"/>
    <x v="6"/>
    <x v="6"/>
    <x v="0"/>
    <x v="0"/>
    <x v="0"/>
    <x v="0"/>
    <x v="0"/>
    <x v="0"/>
    <x v="413"/>
    <x v="411"/>
    <x v="6"/>
  </r>
  <r>
    <x v="107"/>
    <x v="6"/>
    <x v="6"/>
    <x v="1"/>
    <x v="195"/>
    <x v="7"/>
    <x v="205"/>
    <x v="148"/>
    <x v="166"/>
    <x v="0"/>
    <x v="25"/>
    <x v="0"/>
    <x v="0"/>
    <x v="419"/>
    <x v="415"/>
    <x v="49"/>
  </r>
  <r>
    <x v="107"/>
    <x v="12"/>
    <x v="12"/>
    <x v="4"/>
    <x v="196"/>
    <x v="7"/>
    <x v="206"/>
    <x v="2"/>
    <x v="167"/>
    <x v="88"/>
    <x v="26"/>
    <x v="0"/>
    <x v="0"/>
    <x v="420"/>
    <x v="416"/>
    <x v="6"/>
  </r>
  <r>
    <x v="107"/>
    <x v="6"/>
    <x v="6"/>
    <x v="1"/>
    <x v="197"/>
    <x v="7"/>
    <x v="207"/>
    <x v="149"/>
    <x v="168"/>
    <x v="0"/>
    <x v="25"/>
    <x v="0"/>
    <x v="0"/>
    <x v="421"/>
    <x v="417"/>
    <x v="57"/>
  </r>
  <r>
    <x v="107"/>
    <x v="6"/>
    <x v="6"/>
    <x v="4"/>
    <x v="198"/>
    <x v="32"/>
    <x v="208"/>
    <x v="150"/>
    <x v="169"/>
    <x v="89"/>
    <x v="27"/>
    <x v="0"/>
    <x v="0"/>
    <x v="422"/>
    <x v="418"/>
    <x v="2"/>
  </r>
  <r>
    <x v="107"/>
    <x v="5"/>
    <x v="5"/>
    <x v="2"/>
    <x v="5"/>
    <x v="6"/>
    <x v="6"/>
    <x v="0"/>
    <x v="0"/>
    <x v="0"/>
    <x v="0"/>
    <x v="0"/>
    <x v="0"/>
    <x v="423"/>
    <x v="419"/>
    <x v="6"/>
  </r>
  <r>
    <x v="107"/>
    <x v="5"/>
    <x v="5"/>
    <x v="2"/>
    <x v="5"/>
    <x v="6"/>
    <x v="6"/>
    <x v="0"/>
    <x v="0"/>
    <x v="0"/>
    <x v="0"/>
    <x v="0"/>
    <x v="0"/>
    <x v="424"/>
    <x v="420"/>
    <x v="6"/>
  </r>
  <r>
    <x v="107"/>
    <x v="5"/>
    <x v="5"/>
    <x v="5"/>
    <x v="5"/>
    <x v="6"/>
    <x v="6"/>
    <x v="0"/>
    <x v="0"/>
    <x v="0"/>
    <x v="0"/>
    <x v="0"/>
    <x v="0"/>
    <x v="416"/>
    <x v="421"/>
    <x v="6"/>
  </r>
  <r>
    <x v="107"/>
    <x v="5"/>
    <x v="5"/>
    <x v="5"/>
    <x v="5"/>
    <x v="6"/>
    <x v="6"/>
    <x v="0"/>
    <x v="0"/>
    <x v="0"/>
    <x v="0"/>
    <x v="0"/>
    <x v="0"/>
    <x v="425"/>
    <x v="422"/>
    <x v="6"/>
  </r>
  <r>
    <x v="107"/>
    <x v="5"/>
    <x v="5"/>
    <x v="5"/>
    <x v="5"/>
    <x v="6"/>
    <x v="6"/>
    <x v="0"/>
    <x v="0"/>
    <x v="0"/>
    <x v="0"/>
    <x v="0"/>
    <x v="0"/>
    <x v="426"/>
    <x v="423"/>
    <x v="6"/>
  </r>
  <r>
    <x v="107"/>
    <x v="5"/>
    <x v="5"/>
    <x v="5"/>
    <x v="5"/>
    <x v="6"/>
    <x v="6"/>
    <x v="0"/>
    <x v="0"/>
    <x v="0"/>
    <x v="0"/>
    <x v="0"/>
    <x v="0"/>
    <x v="427"/>
    <x v="424"/>
    <x v="6"/>
  </r>
  <r>
    <x v="107"/>
    <x v="5"/>
    <x v="5"/>
    <x v="5"/>
    <x v="5"/>
    <x v="6"/>
    <x v="6"/>
    <x v="0"/>
    <x v="0"/>
    <x v="0"/>
    <x v="0"/>
    <x v="0"/>
    <x v="0"/>
    <x v="428"/>
    <x v="425"/>
    <x v="6"/>
  </r>
  <r>
    <x v="107"/>
    <x v="5"/>
    <x v="5"/>
    <x v="6"/>
    <x v="5"/>
    <x v="6"/>
    <x v="6"/>
    <x v="0"/>
    <x v="0"/>
    <x v="0"/>
    <x v="0"/>
    <x v="0"/>
    <x v="0"/>
    <x v="429"/>
    <x v="426"/>
    <x v="6"/>
  </r>
  <r>
    <x v="108"/>
    <x v="6"/>
    <x v="6"/>
    <x v="1"/>
    <x v="199"/>
    <x v="2"/>
    <x v="209"/>
    <x v="151"/>
    <x v="170"/>
    <x v="0"/>
    <x v="28"/>
    <x v="0"/>
    <x v="0"/>
    <x v="430"/>
    <x v="427"/>
    <x v="11"/>
  </r>
  <r>
    <x v="108"/>
    <x v="5"/>
    <x v="5"/>
    <x v="2"/>
    <x v="5"/>
    <x v="6"/>
    <x v="6"/>
    <x v="0"/>
    <x v="0"/>
    <x v="0"/>
    <x v="0"/>
    <x v="0"/>
    <x v="0"/>
    <x v="431"/>
    <x v="426"/>
    <x v="6"/>
  </r>
  <r>
    <x v="109"/>
    <x v="5"/>
    <x v="5"/>
    <x v="12"/>
    <x v="5"/>
    <x v="6"/>
    <x v="6"/>
    <x v="0"/>
    <x v="0"/>
    <x v="0"/>
    <x v="0"/>
    <x v="0"/>
    <x v="0"/>
    <x v="432"/>
    <x v="428"/>
    <x v="6"/>
  </r>
  <r>
    <x v="109"/>
    <x v="5"/>
    <x v="5"/>
    <x v="5"/>
    <x v="5"/>
    <x v="6"/>
    <x v="6"/>
    <x v="0"/>
    <x v="0"/>
    <x v="0"/>
    <x v="0"/>
    <x v="0"/>
    <x v="0"/>
    <x v="430"/>
    <x v="429"/>
    <x v="6"/>
  </r>
  <r>
    <x v="109"/>
    <x v="5"/>
    <x v="5"/>
    <x v="6"/>
    <x v="5"/>
    <x v="6"/>
    <x v="6"/>
    <x v="0"/>
    <x v="0"/>
    <x v="0"/>
    <x v="0"/>
    <x v="0"/>
    <x v="0"/>
    <x v="433"/>
    <x v="430"/>
    <x v="6"/>
  </r>
  <r>
    <x v="110"/>
    <x v="6"/>
    <x v="6"/>
    <x v="10"/>
    <x v="200"/>
    <x v="7"/>
    <x v="210"/>
    <x v="152"/>
    <x v="171"/>
    <x v="0"/>
    <x v="29"/>
    <x v="0"/>
    <x v="0"/>
    <x v="434"/>
    <x v="431"/>
    <x v="12"/>
  </r>
  <r>
    <x v="111"/>
    <x v="6"/>
    <x v="6"/>
    <x v="4"/>
    <x v="201"/>
    <x v="2"/>
    <x v="211"/>
    <x v="23"/>
    <x v="172"/>
    <x v="90"/>
    <x v="30"/>
    <x v="0"/>
    <x v="0"/>
    <x v="435"/>
    <x v="432"/>
    <x v="8"/>
  </r>
  <r>
    <x v="112"/>
    <x v="6"/>
    <x v="6"/>
    <x v="10"/>
    <x v="202"/>
    <x v="7"/>
    <x v="212"/>
    <x v="153"/>
    <x v="173"/>
    <x v="0"/>
    <x v="31"/>
    <x v="0"/>
    <x v="0"/>
    <x v="436"/>
    <x v="433"/>
    <x v="11"/>
  </r>
  <r>
    <x v="113"/>
    <x v="6"/>
    <x v="6"/>
    <x v="4"/>
    <x v="203"/>
    <x v="7"/>
    <x v="213"/>
    <x v="154"/>
    <x v="64"/>
    <x v="91"/>
    <x v="32"/>
    <x v="0"/>
    <x v="0"/>
    <x v="437"/>
    <x v="434"/>
    <x v="8"/>
  </r>
  <r>
    <x v="113"/>
    <x v="6"/>
    <x v="6"/>
    <x v="4"/>
    <x v="204"/>
    <x v="7"/>
    <x v="214"/>
    <x v="155"/>
    <x v="51"/>
    <x v="92"/>
    <x v="32"/>
    <x v="0"/>
    <x v="0"/>
    <x v="438"/>
    <x v="435"/>
    <x v="2"/>
  </r>
  <r>
    <x v="114"/>
    <x v="17"/>
    <x v="19"/>
    <x v="10"/>
    <x v="205"/>
    <x v="2"/>
    <x v="215"/>
    <x v="2"/>
    <x v="174"/>
    <x v="0"/>
    <x v="0"/>
    <x v="0"/>
    <x v="0"/>
    <x v="439"/>
    <x v="436"/>
    <x v="2"/>
  </r>
  <r>
    <x v="115"/>
    <x v="17"/>
    <x v="19"/>
    <x v="4"/>
    <x v="206"/>
    <x v="2"/>
    <x v="216"/>
    <x v="2"/>
    <x v="175"/>
    <x v="0"/>
    <x v="0"/>
    <x v="0"/>
    <x v="0"/>
    <x v="440"/>
    <x v="437"/>
    <x v="6"/>
  </r>
  <r>
    <x v="116"/>
    <x v="12"/>
    <x v="12"/>
    <x v="10"/>
    <x v="207"/>
    <x v="2"/>
    <x v="217"/>
    <x v="2"/>
    <x v="65"/>
    <x v="0"/>
    <x v="33"/>
    <x v="0"/>
    <x v="0"/>
    <x v="441"/>
    <x v="438"/>
    <x v="2"/>
  </r>
  <r>
    <x v="116"/>
    <x v="18"/>
    <x v="20"/>
    <x v="10"/>
    <x v="208"/>
    <x v="7"/>
    <x v="218"/>
    <x v="2"/>
    <x v="176"/>
    <x v="0"/>
    <x v="0"/>
    <x v="0"/>
    <x v="0"/>
    <x v="442"/>
    <x v="439"/>
    <x v="10"/>
  </r>
  <r>
    <x v="116"/>
    <x v="18"/>
    <x v="20"/>
    <x v="10"/>
    <x v="209"/>
    <x v="7"/>
    <x v="219"/>
    <x v="2"/>
    <x v="176"/>
    <x v="0"/>
    <x v="0"/>
    <x v="0"/>
    <x v="0"/>
    <x v="443"/>
    <x v="440"/>
    <x v="2"/>
  </r>
  <r>
    <x v="117"/>
    <x v="18"/>
    <x v="20"/>
    <x v="4"/>
    <x v="210"/>
    <x v="7"/>
    <x v="220"/>
    <x v="2"/>
    <x v="177"/>
    <x v="93"/>
    <x v="0"/>
    <x v="0"/>
    <x v="0"/>
    <x v="444"/>
    <x v="441"/>
    <x v="10"/>
  </r>
  <r>
    <x v="117"/>
    <x v="12"/>
    <x v="12"/>
    <x v="4"/>
    <x v="211"/>
    <x v="2"/>
    <x v="83"/>
    <x v="2"/>
    <x v="117"/>
    <x v="94"/>
    <x v="34"/>
    <x v="0"/>
    <x v="0"/>
    <x v="445"/>
    <x v="442"/>
    <x v="6"/>
  </r>
  <r>
    <x v="117"/>
    <x v="18"/>
    <x v="20"/>
    <x v="4"/>
    <x v="212"/>
    <x v="7"/>
    <x v="221"/>
    <x v="2"/>
    <x v="178"/>
    <x v="95"/>
    <x v="0"/>
    <x v="0"/>
    <x v="0"/>
    <x v="446"/>
    <x v="443"/>
    <x v="6"/>
  </r>
  <r>
    <x v="118"/>
    <x v="6"/>
    <x v="6"/>
    <x v="4"/>
    <x v="213"/>
    <x v="7"/>
    <x v="222"/>
    <x v="156"/>
    <x v="179"/>
    <x v="96"/>
    <x v="35"/>
    <x v="0"/>
    <x v="0"/>
    <x v="447"/>
    <x v="444"/>
    <x v="10"/>
  </r>
  <r>
    <x v="118"/>
    <x v="6"/>
    <x v="6"/>
    <x v="1"/>
    <x v="214"/>
    <x v="8"/>
    <x v="223"/>
    <x v="157"/>
    <x v="180"/>
    <x v="0"/>
    <x v="36"/>
    <x v="0"/>
    <x v="0"/>
    <x v="448"/>
    <x v="445"/>
    <x v="11"/>
  </r>
  <r>
    <x v="118"/>
    <x v="5"/>
    <x v="5"/>
    <x v="2"/>
    <x v="5"/>
    <x v="6"/>
    <x v="6"/>
    <x v="0"/>
    <x v="0"/>
    <x v="0"/>
    <x v="0"/>
    <x v="0"/>
    <x v="0"/>
    <x v="449"/>
    <x v="444"/>
    <x v="6"/>
  </r>
  <r>
    <x v="119"/>
    <x v="3"/>
    <x v="3"/>
    <x v="10"/>
    <x v="215"/>
    <x v="7"/>
    <x v="224"/>
    <x v="2"/>
    <x v="181"/>
    <x v="0"/>
    <x v="37"/>
    <x v="0"/>
    <x v="0"/>
    <x v="450"/>
    <x v="446"/>
    <x v="10"/>
  </r>
  <r>
    <x v="120"/>
    <x v="3"/>
    <x v="3"/>
    <x v="4"/>
    <x v="216"/>
    <x v="7"/>
    <x v="225"/>
    <x v="2"/>
    <x v="45"/>
    <x v="97"/>
    <x v="37"/>
    <x v="0"/>
    <x v="0"/>
    <x v="451"/>
    <x v="447"/>
    <x v="6"/>
  </r>
  <r>
    <x v="121"/>
    <x v="6"/>
    <x v="6"/>
    <x v="10"/>
    <x v="217"/>
    <x v="7"/>
    <x v="226"/>
    <x v="46"/>
    <x v="161"/>
    <x v="0"/>
    <x v="32"/>
    <x v="0"/>
    <x v="0"/>
    <x v="452"/>
    <x v="448"/>
    <x v="12"/>
  </r>
  <r>
    <x v="121"/>
    <x v="6"/>
    <x v="6"/>
    <x v="4"/>
    <x v="218"/>
    <x v="7"/>
    <x v="227"/>
    <x v="158"/>
    <x v="182"/>
    <x v="98"/>
    <x v="38"/>
    <x v="0"/>
    <x v="0"/>
    <x v="453"/>
    <x v="449"/>
    <x v="11"/>
  </r>
  <r>
    <x v="121"/>
    <x v="5"/>
    <x v="5"/>
    <x v="5"/>
    <x v="5"/>
    <x v="6"/>
    <x v="6"/>
    <x v="0"/>
    <x v="0"/>
    <x v="0"/>
    <x v="0"/>
    <x v="0"/>
    <x v="0"/>
    <x v="454"/>
    <x v="450"/>
    <x v="6"/>
  </r>
  <r>
    <x v="121"/>
    <x v="5"/>
    <x v="5"/>
    <x v="5"/>
    <x v="5"/>
    <x v="6"/>
    <x v="6"/>
    <x v="0"/>
    <x v="0"/>
    <x v="0"/>
    <x v="0"/>
    <x v="0"/>
    <x v="0"/>
    <x v="455"/>
    <x v="451"/>
    <x v="6"/>
  </r>
  <r>
    <x v="122"/>
    <x v="6"/>
    <x v="6"/>
    <x v="8"/>
    <x v="219"/>
    <x v="7"/>
    <x v="16"/>
    <x v="9"/>
    <x v="183"/>
    <x v="5"/>
    <x v="35"/>
    <x v="0"/>
    <x v="0"/>
    <x v="456"/>
    <x v="452"/>
    <x v="8"/>
  </r>
  <r>
    <x v="122"/>
    <x v="5"/>
    <x v="5"/>
    <x v="6"/>
    <x v="5"/>
    <x v="6"/>
    <x v="6"/>
    <x v="0"/>
    <x v="0"/>
    <x v="0"/>
    <x v="0"/>
    <x v="0"/>
    <x v="0"/>
    <x v="457"/>
    <x v="453"/>
    <x v="6"/>
  </r>
  <r>
    <x v="122"/>
    <x v="5"/>
    <x v="5"/>
    <x v="5"/>
    <x v="5"/>
    <x v="6"/>
    <x v="6"/>
    <x v="0"/>
    <x v="0"/>
    <x v="0"/>
    <x v="0"/>
    <x v="0"/>
    <x v="0"/>
    <x v="458"/>
    <x v="451"/>
    <x v="6"/>
  </r>
  <r>
    <x v="123"/>
    <x v="18"/>
    <x v="20"/>
    <x v="10"/>
    <x v="220"/>
    <x v="7"/>
    <x v="228"/>
    <x v="2"/>
    <x v="184"/>
    <x v="0"/>
    <x v="0"/>
    <x v="0"/>
    <x v="0"/>
    <x v="459"/>
    <x v="454"/>
    <x v="10"/>
  </r>
  <r>
    <x v="123"/>
    <x v="5"/>
    <x v="5"/>
    <x v="5"/>
    <x v="5"/>
    <x v="6"/>
    <x v="6"/>
    <x v="0"/>
    <x v="0"/>
    <x v="0"/>
    <x v="0"/>
    <x v="0"/>
    <x v="0"/>
    <x v="460"/>
    <x v="455"/>
    <x v="6"/>
  </r>
  <r>
    <x v="123"/>
    <x v="5"/>
    <x v="5"/>
    <x v="6"/>
    <x v="5"/>
    <x v="6"/>
    <x v="6"/>
    <x v="0"/>
    <x v="0"/>
    <x v="0"/>
    <x v="0"/>
    <x v="0"/>
    <x v="0"/>
    <x v="461"/>
    <x v="456"/>
    <x v="6"/>
  </r>
  <r>
    <x v="124"/>
    <x v="5"/>
    <x v="5"/>
    <x v="13"/>
    <x v="5"/>
    <x v="6"/>
    <x v="6"/>
    <x v="0"/>
    <x v="0"/>
    <x v="0"/>
    <x v="0"/>
    <x v="0"/>
    <x v="0"/>
    <x v="462"/>
    <x v="457"/>
    <x v="6"/>
  </r>
  <r>
    <x v="124"/>
    <x v="18"/>
    <x v="20"/>
    <x v="4"/>
    <x v="221"/>
    <x v="7"/>
    <x v="229"/>
    <x v="2"/>
    <x v="185"/>
    <x v="13"/>
    <x v="0"/>
    <x v="0"/>
    <x v="0"/>
    <x v="463"/>
    <x v="458"/>
    <x v="6"/>
  </r>
  <r>
    <x v="125"/>
    <x v="5"/>
    <x v="5"/>
    <x v="12"/>
    <x v="5"/>
    <x v="6"/>
    <x v="6"/>
    <x v="0"/>
    <x v="0"/>
    <x v="0"/>
    <x v="0"/>
    <x v="0"/>
    <x v="0"/>
    <x v="464"/>
    <x v="459"/>
    <x v="6"/>
  </r>
  <r>
    <x v="126"/>
    <x v="6"/>
    <x v="6"/>
    <x v="4"/>
    <x v="222"/>
    <x v="7"/>
    <x v="230"/>
    <x v="159"/>
    <x v="186"/>
    <x v="99"/>
    <x v="39"/>
    <x v="0"/>
    <x v="0"/>
    <x v="465"/>
    <x v="460"/>
    <x v="2"/>
  </r>
  <r>
    <x v="127"/>
    <x v="6"/>
    <x v="6"/>
    <x v="4"/>
    <x v="223"/>
    <x v="5"/>
    <x v="231"/>
    <x v="2"/>
    <x v="52"/>
    <x v="100"/>
    <x v="21"/>
    <x v="0"/>
    <x v="0"/>
    <x v="466"/>
    <x v="461"/>
    <x v="0"/>
  </r>
  <r>
    <x v="127"/>
    <x v="6"/>
    <x v="6"/>
    <x v="10"/>
    <x v="224"/>
    <x v="5"/>
    <x v="232"/>
    <x v="2"/>
    <x v="187"/>
    <x v="0"/>
    <x v="40"/>
    <x v="0"/>
    <x v="0"/>
    <x v="467"/>
    <x v="462"/>
    <x v="2"/>
  </r>
  <r>
    <x v="128"/>
    <x v="6"/>
    <x v="6"/>
    <x v="4"/>
    <x v="225"/>
    <x v="5"/>
    <x v="233"/>
    <x v="2"/>
    <x v="38"/>
    <x v="101"/>
    <x v="21"/>
    <x v="0"/>
    <x v="0"/>
    <x v="468"/>
    <x v="463"/>
    <x v="0"/>
  </r>
  <r>
    <x v="128"/>
    <x v="6"/>
    <x v="6"/>
    <x v="4"/>
    <x v="188"/>
    <x v="5"/>
    <x v="199"/>
    <x v="2"/>
    <x v="161"/>
    <x v="85"/>
    <x v="23"/>
    <x v="0"/>
    <x v="0"/>
    <x v="400"/>
    <x v="464"/>
    <x v="10"/>
  </r>
  <r>
    <x v="128"/>
    <x v="6"/>
    <x v="6"/>
    <x v="10"/>
    <x v="226"/>
    <x v="5"/>
    <x v="234"/>
    <x v="2"/>
    <x v="64"/>
    <x v="0"/>
    <x v="21"/>
    <x v="0"/>
    <x v="0"/>
    <x v="469"/>
    <x v="465"/>
    <x v="0"/>
  </r>
  <r>
    <x v="129"/>
    <x v="6"/>
    <x v="6"/>
    <x v="4"/>
    <x v="227"/>
    <x v="5"/>
    <x v="235"/>
    <x v="2"/>
    <x v="161"/>
    <x v="102"/>
    <x v="23"/>
    <x v="0"/>
    <x v="0"/>
    <x v="470"/>
    <x v="466"/>
    <x v="10"/>
  </r>
  <r>
    <x v="130"/>
    <x v="6"/>
    <x v="6"/>
    <x v="10"/>
    <x v="228"/>
    <x v="5"/>
    <x v="236"/>
    <x v="2"/>
    <x v="52"/>
    <x v="0"/>
    <x v="40"/>
    <x v="0"/>
    <x v="0"/>
    <x v="471"/>
    <x v="467"/>
    <x v="0"/>
  </r>
  <r>
    <x v="131"/>
    <x v="19"/>
    <x v="21"/>
    <x v="10"/>
    <x v="229"/>
    <x v="2"/>
    <x v="237"/>
    <x v="2"/>
    <x v="116"/>
    <x v="0"/>
    <x v="41"/>
    <x v="0"/>
    <x v="0"/>
    <x v="472"/>
    <x v="468"/>
    <x v="2"/>
  </r>
  <r>
    <x v="131"/>
    <x v="6"/>
    <x v="6"/>
    <x v="4"/>
    <x v="230"/>
    <x v="5"/>
    <x v="238"/>
    <x v="2"/>
    <x v="38"/>
    <x v="103"/>
    <x v="21"/>
    <x v="0"/>
    <x v="0"/>
    <x v="473"/>
    <x v="469"/>
    <x v="10"/>
  </r>
  <r>
    <x v="132"/>
    <x v="6"/>
    <x v="6"/>
    <x v="4"/>
    <x v="231"/>
    <x v="5"/>
    <x v="239"/>
    <x v="2"/>
    <x v="162"/>
    <x v="104"/>
    <x v="23"/>
    <x v="0"/>
    <x v="0"/>
    <x v="474"/>
    <x v="470"/>
    <x v="5"/>
  </r>
  <r>
    <x v="133"/>
    <x v="6"/>
    <x v="6"/>
    <x v="10"/>
    <x v="123"/>
    <x v="5"/>
    <x v="240"/>
    <x v="2"/>
    <x v="37"/>
    <x v="0"/>
    <x v="21"/>
    <x v="0"/>
    <x v="0"/>
    <x v="475"/>
    <x v="471"/>
    <x v="10"/>
  </r>
  <r>
    <x v="134"/>
    <x v="6"/>
    <x v="6"/>
    <x v="4"/>
    <x v="232"/>
    <x v="5"/>
    <x v="241"/>
    <x v="2"/>
    <x v="37"/>
    <x v="105"/>
    <x v="21"/>
    <x v="0"/>
    <x v="0"/>
    <x v="476"/>
    <x v="472"/>
    <x v="5"/>
  </r>
  <r>
    <x v="135"/>
    <x v="6"/>
    <x v="6"/>
    <x v="4"/>
    <x v="233"/>
    <x v="19"/>
    <x v="242"/>
    <x v="2"/>
    <x v="188"/>
    <x v="106"/>
    <x v="8"/>
    <x v="0"/>
    <x v="0"/>
    <x v="477"/>
    <x v="473"/>
    <x v="17"/>
  </r>
  <r>
    <x v="135"/>
    <x v="6"/>
    <x v="6"/>
    <x v="10"/>
    <x v="234"/>
    <x v="19"/>
    <x v="243"/>
    <x v="2"/>
    <x v="189"/>
    <x v="0"/>
    <x v="8"/>
    <x v="0"/>
    <x v="0"/>
    <x v="478"/>
    <x v="474"/>
    <x v="5"/>
  </r>
  <r>
    <x v="136"/>
    <x v="19"/>
    <x v="21"/>
    <x v="10"/>
    <x v="22"/>
    <x v="2"/>
    <x v="24"/>
    <x v="2"/>
    <x v="190"/>
    <x v="0"/>
    <x v="9"/>
    <x v="0"/>
    <x v="0"/>
    <x v="479"/>
    <x v="475"/>
    <x v="11"/>
  </r>
  <r>
    <x v="137"/>
    <x v="6"/>
    <x v="6"/>
    <x v="10"/>
    <x v="235"/>
    <x v="5"/>
    <x v="244"/>
    <x v="2"/>
    <x v="38"/>
    <x v="0"/>
    <x v="21"/>
    <x v="0"/>
    <x v="0"/>
    <x v="480"/>
    <x v="476"/>
    <x v="10"/>
  </r>
  <r>
    <x v="138"/>
    <x v="6"/>
    <x v="6"/>
    <x v="10"/>
    <x v="236"/>
    <x v="5"/>
    <x v="245"/>
    <x v="2"/>
    <x v="64"/>
    <x v="0"/>
    <x v="21"/>
    <x v="0"/>
    <x v="0"/>
    <x v="481"/>
    <x v="477"/>
    <x v="0"/>
  </r>
  <r>
    <x v="139"/>
    <x v="20"/>
    <x v="22"/>
    <x v="10"/>
    <x v="237"/>
    <x v="7"/>
    <x v="246"/>
    <x v="2"/>
    <x v="191"/>
    <x v="0"/>
    <x v="0"/>
    <x v="0"/>
    <x v="0"/>
    <x v="482"/>
    <x v="478"/>
    <x v="10"/>
  </r>
  <r>
    <x v="140"/>
    <x v="19"/>
    <x v="21"/>
    <x v="10"/>
    <x v="238"/>
    <x v="2"/>
    <x v="247"/>
    <x v="2"/>
    <x v="117"/>
    <x v="0"/>
    <x v="34"/>
    <x v="0"/>
    <x v="0"/>
    <x v="483"/>
    <x v="479"/>
    <x v="14"/>
  </r>
  <r>
    <x v="140"/>
    <x v="19"/>
    <x v="21"/>
    <x v="4"/>
    <x v="239"/>
    <x v="2"/>
    <x v="248"/>
    <x v="2"/>
    <x v="49"/>
    <x v="107"/>
    <x v="42"/>
    <x v="0"/>
    <x v="0"/>
    <x v="484"/>
    <x v="480"/>
    <x v="11"/>
  </r>
  <r>
    <x v="140"/>
    <x v="19"/>
    <x v="21"/>
    <x v="10"/>
    <x v="240"/>
    <x v="2"/>
    <x v="249"/>
    <x v="2"/>
    <x v="117"/>
    <x v="0"/>
    <x v="34"/>
    <x v="0"/>
    <x v="0"/>
    <x v="485"/>
    <x v="481"/>
    <x v="14"/>
  </r>
  <r>
    <x v="141"/>
    <x v="2"/>
    <x v="2"/>
    <x v="1"/>
    <x v="241"/>
    <x v="7"/>
    <x v="250"/>
    <x v="160"/>
    <x v="192"/>
    <x v="0"/>
    <x v="35"/>
    <x v="0"/>
    <x v="0"/>
    <x v="486"/>
    <x v="482"/>
    <x v="10"/>
  </r>
  <r>
    <x v="141"/>
    <x v="5"/>
    <x v="5"/>
    <x v="2"/>
    <x v="5"/>
    <x v="6"/>
    <x v="6"/>
    <x v="0"/>
    <x v="0"/>
    <x v="0"/>
    <x v="0"/>
    <x v="0"/>
    <x v="0"/>
    <x v="487"/>
    <x v="481"/>
    <x v="6"/>
  </r>
  <r>
    <x v="142"/>
    <x v="19"/>
    <x v="21"/>
    <x v="4"/>
    <x v="242"/>
    <x v="2"/>
    <x v="251"/>
    <x v="2"/>
    <x v="193"/>
    <x v="108"/>
    <x v="42"/>
    <x v="0"/>
    <x v="0"/>
    <x v="488"/>
    <x v="483"/>
    <x v="11"/>
  </r>
  <r>
    <x v="142"/>
    <x v="20"/>
    <x v="22"/>
    <x v="10"/>
    <x v="243"/>
    <x v="2"/>
    <x v="252"/>
    <x v="2"/>
    <x v="194"/>
    <x v="0"/>
    <x v="0"/>
    <x v="0"/>
    <x v="0"/>
    <x v="489"/>
    <x v="484"/>
    <x v="8"/>
  </r>
  <r>
    <x v="143"/>
    <x v="5"/>
    <x v="5"/>
    <x v="3"/>
    <x v="5"/>
    <x v="6"/>
    <x v="6"/>
    <x v="0"/>
    <x v="0"/>
    <x v="0"/>
    <x v="0"/>
    <x v="0"/>
    <x v="0"/>
    <x v="490"/>
    <x v="485"/>
    <x v="6"/>
  </r>
  <r>
    <x v="143"/>
    <x v="2"/>
    <x v="2"/>
    <x v="10"/>
    <x v="244"/>
    <x v="7"/>
    <x v="253"/>
    <x v="161"/>
    <x v="195"/>
    <x v="0"/>
    <x v="43"/>
    <x v="0"/>
    <x v="0"/>
    <x v="491"/>
    <x v="486"/>
    <x v="2"/>
  </r>
  <r>
    <x v="144"/>
    <x v="5"/>
    <x v="5"/>
    <x v="3"/>
    <x v="5"/>
    <x v="6"/>
    <x v="6"/>
    <x v="0"/>
    <x v="0"/>
    <x v="0"/>
    <x v="0"/>
    <x v="0"/>
    <x v="0"/>
    <x v="490"/>
    <x v="487"/>
    <x v="6"/>
  </r>
  <r>
    <x v="144"/>
    <x v="5"/>
    <x v="5"/>
    <x v="13"/>
    <x v="5"/>
    <x v="6"/>
    <x v="6"/>
    <x v="0"/>
    <x v="0"/>
    <x v="0"/>
    <x v="0"/>
    <x v="0"/>
    <x v="0"/>
    <x v="492"/>
    <x v="488"/>
    <x v="6"/>
  </r>
  <r>
    <x v="144"/>
    <x v="2"/>
    <x v="2"/>
    <x v="4"/>
    <x v="245"/>
    <x v="5"/>
    <x v="254"/>
    <x v="2"/>
    <x v="2"/>
    <x v="109"/>
    <x v="40"/>
    <x v="0"/>
    <x v="0"/>
    <x v="493"/>
    <x v="489"/>
    <x v="0"/>
  </r>
  <r>
    <x v="144"/>
    <x v="6"/>
    <x v="6"/>
    <x v="4"/>
    <x v="246"/>
    <x v="5"/>
    <x v="255"/>
    <x v="2"/>
    <x v="116"/>
    <x v="110"/>
    <x v="41"/>
    <x v="0"/>
    <x v="0"/>
    <x v="494"/>
    <x v="490"/>
    <x v="10"/>
  </r>
  <r>
    <x v="144"/>
    <x v="21"/>
    <x v="23"/>
    <x v="10"/>
    <x v="135"/>
    <x v="7"/>
    <x v="143"/>
    <x v="2"/>
    <x v="196"/>
    <x v="0"/>
    <x v="8"/>
    <x v="0"/>
    <x v="0"/>
    <x v="495"/>
    <x v="491"/>
    <x v="10"/>
  </r>
  <r>
    <x v="144"/>
    <x v="21"/>
    <x v="23"/>
    <x v="10"/>
    <x v="247"/>
    <x v="7"/>
    <x v="256"/>
    <x v="2"/>
    <x v="196"/>
    <x v="0"/>
    <x v="8"/>
    <x v="0"/>
    <x v="0"/>
    <x v="496"/>
    <x v="492"/>
    <x v="2"/>
  </r>
  <r>
    <x v="144"/>
    <x v="21"/>
    <x v="23"/>
    <x v="10"/>
    <x v="248"/>
    <x v="2"/>
    <x v="257"/>
    <x v="158"/>
    <x v="182"/>
    <x v="0"/>
    <x v="38"/>
    <x v="0"/>
    <x v="0"/>
    <x v="497"/>
    <x v="493"/>
    <x v="11"/>
  </r>
  <r>
    <x v="144"/>
    <x v="2"/>
    <x v="2"/>
    <x v="4"/>
    <x v="171"/>
    <x v="5"/>
    <x v="258"/>
    <x v="2"/>
    <x v="187"/>
    <x v="111"/>
    <x v="40"/>
    <x v="0"/>
    <x v="0"/>
    <x v="498"/>
    <x v="494"/>
    <x v="10"/>
  </r>
  <r>
    <x v="144"/>
    <x v="5"/>
    <x v="5"/>
    <x v="6"/>
    <x v="5"/>
    <x v="6"/>
    <x v="6"/>
    <x v="0"/>
    <x v="0"/>
    <x v="0"/>
    <x v="0"/>
    <x v="0"/>
    <x v="0"/>
    <x v="499"/>
    <x v="495"/>
    <x v="6"/>
  </r>
  <r>
    <x v="144"/>
    <x v="5"/>
    <x v="5"/>
    <x v="5"/>
    <x v="5"/>
    <x v="6"/>
    <x v="6"/>
    <x v="0"/>
    <x v="0"/>
    <x v="0"/>
    <x v="0"/>
    <x v="0"/>
    <x v="0"/>
    <x v="500"/>
    <x v="496"/>
    <x v="6"/>
  </r>
  <r>
    <x v="144"/>
    <x v="5"/>
    <x v="5"/>
    <x v="5"/>
    <x v="5"/>
    <x v="6"/>
    <x v="6"/>
    <x v="0"/>
    <x v="0"/>
    <x v="0"/>
    <x v="0"/>
    <x v="0"/>
    <x v="0"/>
    <x v="501"/>
    <x v="497"/>
    <x v="6"/>
  </r>
  <r>
    <x v="145"/>
    <x v="2"/>
    <x v="2"/>
    <x v="4"/>
    <x v="249"/>
    <x v="7"/>
    <x v="259"/>
    <x v="162"/>
    <x v="197"/>
    <x v="112"/>
    <x v="39"/>
    <x v="0"/>
    <x v="0"/>
    <x v="502"/>
    <x v="498"/>
    <x v="6"/>
  </r>
  <r>
    <x v="145"/>
    <x v="6"/>
    <x v="6"/>
    <x v="4"/>
    <x v="250"/>
    <x v="5"/>
    <x v="260"/>
    <x v="2"/>
    <x v="116"/>
    <x v="113"/>
    <x v="41"/>
    <x v="0"/>
    <x v="0"/>
    <x v="503"/>
    <x v="499"/>
    <x v="5"/>
  </r>
  <r>
    <x v="146"/>
    <x v="19"/>
    <x v="21"/>
    <x v="4"/>
    <x v="251"/>
    <x v="2"/>
    <x v="261"/>
    <x v="2"/>
    <x v="198"/>
    <x v="114"/>
    <x v="42"/>
    <x v="0"/>
    <x v="0"/>
    <x v="504"/>
    <x v="500"/>
    <x v="2"/>
  </r>
  <r>
    <x v="146"/>
    <x v="6"/>
    <x v="6"/>
    <x v="10"/>
    <x v="252"/>
    <x v="5"/>
    <x v="262"/>
    <x v="2"/>
    <x v="51"/>
    <x v="0"/>
    <x v="41"/>
    <x v="0"/>
    <x v="0"/>
    <x v="505"/>
    <x v="501"/>
    <x v="10"/>
  </r>
  <r>
    <x v="146"/>
    <x v="21"/>
    <x v="23"/>
    <x v="10"/>
    <x v="253"/>
    <x v="2"/>
    <x v="263"/>
    <x v="163"/>
    <x v="38"/>
    <x v="0"/>
    <x v="38"/>
    <x v="0"/>
    <x v="0"/>
    <x v="506"/>
    <x v="502"/>
    <x v="14"/>
  </r>
  <r>
    <x v="146"/>
    <x v="19"/>
    <x v="21"/>
    <x v="10"/>
    <x v="254"/>
    <x v="2"/>
    <x v="264"/>
    <x v="2"/>
    <x v="193"/>
    <x v="0"/>
    <x v="42"/>
    <x v="0"/>
    <x v="0"/>
    <x v="507"/>
    <x v="503"/>
    <x v="11"/>
  </r>
  <r>
    <x v="147"/>
    <x v="21"/>
    <x v="23"/>
    <x v="10"/>
    <x v="255"/>
    <x v="2"/>
    <x v="213"/>
    <x v="154"/>
    <x v="37"/>
    <x v="0"/>
    <x v="32"/>
    <x v="0"/>
    <x v="0"/>
    <x v="508"/>
    <x v="504"/>
    <x v="52"/>
  </r>
  <r>
    <x v="147"/>
    <x v="21"/>
    <x v="23"/>
    <x v="1"/>
    <x v="256"/>
    <x v="2"/>
    <x v="265"/>
    <x v="164"/>
    <x v="199"/>
    <x v="0"/>
    <x v="32"/>
    <x v="0"/>
    <x v="0"/>
    <x v="509"/>
    <x v="505"/>
    <x v="50"/>
  </r>
  <r>
    <x v="147"/>
    <x v="5"/>
    <x v="5"/>
    <x v="2"/>
    <x v="5"/>
    <x v="6"/>
    <x v="6"/>
    <x v="0"/>
    <x v="0"/>
    <x v="0"/>
    <x v="0"/>
    <x v="0"/>
    <x v="0"/>
    <x v="510"/>
    <x v="504"/>
    <x v="6"/>
  </r>
  <r>
    <x v="148"/>
    <x v="22"/>
    <x v="24"/>
    <x v="10"/>
    <x v="257"/>
    <x v="7"/>
    <x v="266"/>
    <x v="2"/>
    <x v="187"/>
    <x v="0"/>
    <x v="0"/>
    <x v="0"/>
    <x v="0"/>
    <x v="511"/>
    <x v="506"/>
    <x v="10"/>
  </r>
  <r>
    <x v="148"/>
    <x v="20"/>
    <x v="22"/>
    <x v="1"/>
    <x v="258"/>
    <x v="8"/>
    <x v="267"/>
    <x v="165"/>
    <x v="200"/>
    <x v="0"/>
    <x v="0"/>
    <x v="0"/>
    <x v="0"/>
    <x v="512"/>
    <x v="507"/>
    <x v="14"/>
  </r>
  <r>
    <x v="148"/>
    <x v="5"/>
    <x v="5"/>
    <x v="2"/>
    <x v="5"/>
    <x v="6"/>
    <x v="6"/>
    <x v="0"/>
    <x v="0"/>
    <x v="0"/>
    <x v="0"/>
    <x v="0"/>
    <x v="0"/>
    <x v="513"/>
    <x v="506"/>
    <x v="6"/>
  </r>
  <r>
    <x v="149"/>
    <x v="5"/>
    <x v="5"/>
    <x v="3"/>
    <x v="5"/>
    <x v="6"/>
    <x v="6"/>
    <x v="0"/>
    <x v="0"/>
    <x v="0"/>
    <x v="0"/>
    <x v="0"/>
    <x v="0"/>
    <x v="125"/>
    <x v="508"/>
    <x v="6"/>
  </r>
  <r>
    <x v="149"/>
    <x v="21"/>
    <x v="23"/>
    <x v="1"/>
    <x v="259"/>
    <x v="2"/>
    <x v="268"/>
    <x v="166"/>
    <x v="201"/>
    <x v="0"/>
    <x v="44"/>
    <x v="0"/>
    <x v="0"/>
    <x v="514"/>
    <x v="509"/>
    <x v="58"/>
  </r>
  <r>
    <x v="149"/>
    <x v="19"/>
    <x v="21"/>
    <x v="4"/>
    <x v="15"/>
    <x v="11"/>
    <x v="269"/>
    <x v="167"/>
    <x v="202"/>
    <x v="115"/>
    <x v="45"/>
    <x v="0"/>
    <x v="0"/>
    <x v="515"/>
    <x v="510"/>
    <x v="6"/>
  </r>
  <r>
    <x v="149"/>
    <x v="2"/>
    <x v="2"/>
    <x v="10"/>
    <x v="260"/>
    <x v="7"/>
    <x v="270"/>
    <x v="168"/>
    <x v="203"/>
    <x v="0"/>
    <x v="31"/>
    <x v="0"/>
    <x v="0"/>
    <x v="516"/>
    <x v="511"/>
    <x v="10"/>
  </r>
  <r>
    <x v="149"/>
    <x v="20"/>
    <x v="22"/>
    <x v="10"/>
    <x v="261"/>
    <x v="11"/>
    <x v="144"/>
    <x v="105"/>
    <x v="59"/>
    <x v="0"/>
    <x v="0"/>
    <x v="0"/>
    <x v="0"/>
    <x v="517"/>
    <x v="512"/>
    <x v="50"/>
  </r>
  <r>
    <x v="149"/>
    <x v="5"/>
    <x v="5"/>
    <x v="2"/>
    <x v="5"/>
    <x v="6"/>
    <x v="6"/>
    <x v="0"/>
    <x v="0"/>
    <x v="0"/>
    <x v="0"/>
    <x v="0"/>
    <x v="0"/>
    <x v="518"/>
    <x v="513"/>
    <x v="6"/>
  </r>
  <r>
    <x v="150"/>
    <x v="2"/>
    <x v="2"/>
    <x v="4"/>
    <x v="262"/>
    <x v="7"/>
    <x v="271"/>
    <x v="169"/>
    <x v="95"/>
    <x v="116"/>
    <x v="31"/>
    <x v="0"/>
    <x v="0"/>
    <x v="519"/>
    <x v="514"/>
    <x v="6"/>
  </r>
  <r>
    <x v="151"/>
    <x v="22"/>
    <x v="24"/>
    <x v="4"/>
    <x v="263"/>
    <x v="7"/>
    <x v="272"/>
    <x v="2"/>
    <x v="52"/>
    <x v="117"/>
    <x v="0"/>
    <x v="0"/>
    <x v="0"/>
    <x v="520"/>
    <x v="515"/>
    <x v="6"/>
  </r>
  <r>
    <x v="152"/>
    <x v="2"/>
    <x v="2"/>
    <x v="10"/>
    <x v="264"/>
    <x v="7"/>
    <x v="273"/>
    <x v="170"/>
    <x v="118"/>
    <x v="0"/>
    <x v="43"/>
    <x v="0"/>
    <x v="0"/>
    <x v="521"/>
    <x v="516"/>
    <x v="10"/>
  </r>
  <r>
    <x v="153"/>
    <x v="6"/>
    <x v="6"/>
    <x v="1"/>
    <x v="265"/>
    <x v="7"/>
    <x v="274"/>
    <x v="171"/>
    <x v="204"/>
    <x v="0"/>
    <x v="24"/>
    <x v="0"/>
    <x v="0"/>
    <x v="522"/>
    <x v="517"/>
    <x v="2"/>
  </r>
  <r>
    <x v="153"/>
    <x v="2"/>
    <x v="2"/>
    <x v="1"/>
    <x v="266"/>
    <x v="7"/>
    <x v="275"/>
    <x v="172"/>
    <x v="205"/>
    <x v="0"/>
    <x v="38"/>
    <x v="0"/>
    <x v="0"/>
    <x v="523"/>
    <x v="518"/>
    <x v="2"/>
  </r>
  <r>
    <x v="153"/>
    <x v="2"/>
    <x v="2"/>
    <x v="4"/>
    <x v="267"/>
    <x v="7"/>
    <x v="276"/>
    <x v="173"/>
    <x v="206"/>
    <x v="118"/>
    <x v="35"/>
    <x v="0"/>
    <x v="0"/>
    <x v="524"/>
    <x v="519"/>
    <x v="10"/>
  </r>
  <r>
    <x v="153"/>
    <x v="20"/>
    <x v="22"/>
    <x v="4"/>
    <x v="268"/>
    <x v="8"/>
    <x v="277"/>
    <x v="2"/>
    <x v="207"/>
    <x v="119"/>
    <x v="0"/>
    <x v="0"/>
    <x v="0"/>
    <x v="525"/>
    <x v="520"/>
    <x v="24"/>
  </r>
  <r>
    <x v="153"/>
    <x v="5"/>
    <x v="5"/>
    <x v="2"/>
    <x v="5"/>
    <x v="6"/>
    <x v="6"/>
    <x v="0"/>
    <x v="0"/>
    <x v="0"/>
    <x v="0"/>
    <x v="0"/>
    <x v="0"/>
    <x v="526"/>
    <x v="521"/>
    <x v="6"/>
  </r>
  <r>
    <x v="153"/>
    <x v="5"/>
    <x v="5"/>
    <x v="2"/>
    <x v="5"/>
    <x v="6"/>
    <x v="6"/>
    <x v="0"/>
    <x v="0"/>
    <x v="0"/>
    <x v="0"/>
    <x v="0"/>
    <x v="0"/>
    <x v="527"/>
    <x v="522"/>
    <x v="6"/>
  </r>
  <r>
    <x v="153"/>
    <x v="5"/>
    <x v="5"/>
    <x v="5"/>
    <x v="5"/>
    <x v="6"/>
    <x v="6"/>
    <x v="0"/>
    <x v="0"/>
    <x v="0"/>
    <x v="0"/>
    <x v="0"/>
    <x v="0"/>
    <x v="523"/>
    <x v="521"/>
    <x v="6"/>
  </r>
  <r>
    <x v="153"/>
    <x v="5"/>
    <x v="5"/>
    <x v="5"/>
    <x v="5"/>
    <x v="6"/>
    <x v="6"/>
    <x v="0"/>
    <x v="0"/>
    <x v="0"/>
    <x v="0"/>
    <x v="0"/>
    <x v="0"/>
    <x v="512"/>
    <x v="523"/>
    <x v="6"/>
  </r>
  <r>
    <x v="153"/>
    <x v="5"/>
    <x v="5"/>
    <x v="6"/>
    <x v="5"/>
    <x v="6"/>
    <x v="6"/>
    <x v="0"/>
    <x v="0"/>
    <x v="0"/>
    <x v="0"/>
    <x v="0"/>
    <x v="0"/>
    <x v="528"/>
    <x v="524"/>
    <x v="6"/>
  </r>
  <r>
    <x v="154"/>
    <x v="2"/>
    <x v="2"/>
    <x v="10"/>
    <x v="269"/>
    <x v="7"/>
    <x v="278"/>
    <x v="174"/>
    <x v="32"/>
    <x v="0"/>
    <x v="38"/>
    <x v="0"/>
    <x v="0"/>
    <x v="529"/>
    <x v="525"/>
    <x v="2"/>
  </r>
  <r>
    <x v="154"/>
    <x v="2"/>
    <x v="2"/>
    <x v="4"/>
    <x v="270"/>
    <x v="7"/>
    <x v="279"/>
    <x v="175"/>
    <x v="59"/>
    <x v="120"/>
    <x v="35"/>
    <x v="0"/>
    <x v="0"/>
    <x v="530"/>
    <x v="526"/>
    <x v="10"/>
  </r>
  <r>
    <x v="155"/>
    <x v="2"/>
    <x v="2"/>
    <x v="10"/>
    <x v="271"/>
    <x v="7"/>
    <x v="280"/>
    <x v="176"/>
    <x v="208"/>
    <x v="0"/>
    <x v="38"/>
    <x v="0"/>
    <x v="0"/>
    <x v="531"/>
    <x v="527"/>
    <x v="2"/>
  </r>
  <r>
    <x v="155"/>
    <x v="6"/>
    <x v="6"/>
    <x v="1"/>
    <x v="272"/>
    <x v="5"/>
    <x v="281"/>
    <x v="177"/>
    <x v="209"/>
    <x v="0"/>
    <x v="46"/>
    <x v="0"/>
    <x v="0"/>
    <x v="532"/>
    <x v="528"/>
    <x v="16"/>
  </r>
  <r>
    <x v="155"/>
    <x v="5"/>
    <x v="5"/>
    <x v="2"/>
    <x v="5"/>
    <x v="6"/>
    <x v="6"/>
    <x v="0"/>
    <x v="0"/>
    <x v="0"/>
    <x v="0"/>
    <x v="0"/>
    <x v="0"/>
    <x v="533"/>
    <x v="527"/>
    <x v="6"/>
  </r>
  <r>
    <x v="156"/>
    <x v="21"/>
    <x v="23"/>
    <x v="1"/>
    <x v="273"/>
    <x v="2"/>
    <x v="282"/>
    <x v="178"/>
    <x v="210"/>
    <x v="0"/>
    <x v="47"/>
    <x v="0"/>
    <x v="0"/>
    <x v="534"/>
    <x v="529"/>
    <x v="59"/>
  </r>
  <r>
    <x v="156"/>
    <x v="5"/>
    <x v="5"/>
    <x v="2"/>
    <x v="5"/>
    <x v="6"/>
    <x v="6"/>
    <x v="0"/>
    <x v="0"/>
    <x v="0"/>
    <x v="0"/>
    <x v="0"/>
    <x v="0"/>
    <x v="535"/>
    <x v="527"/>
    <x v="6"/>
  </r>
  <r>
    <x v="157"/>
    <x v="20"/>
    <x v="22"/>
    <x v="10"/>
    <x v="274"/>
    <x v="7"/>
    <x v="283"/>
    <x v="2"/>
    <x v="211"/>
    <x v="0"/>
    <x v="0"/>
    <x v="0"/>
    <x v="0"/>
    <x v="536"/>
    <x v="530"/>
    <x v="52"/>
  </r>
  <r>
    <x v="157"/>
    <x v="20"/>
    <x v="22"/>
    <x v="4"/>
    <x v="275"/>
    <x v="7"/>
    <x v="284"/>
    <x v="2"/>
    <x v="111"/>
    <x v="121"/>
    <x v="0"/>
    <x v="0"/>
    <x v="0"/>
    <x v="537"/>
    <x v="531"/>
    <x v="24"/>
  </r>
  <r>
    <x v="158"/>
    <x v="20"/>
    <x v="22"/>
    <x v="10"/>
    <x v="276"/>
    <x v="7"/>
    <x v="285"/>
    <x v="2"/>
    <x v="111"/>
    <x v="0"/>
    <x v="0"/>
    <x v="0"/>
    <x v="0"/>
    <x v="538"/>
    <x v="532"/>
    <x v="52"/>
  </r>
  <r>
    <x v="158"/>
    <x v="20"/>
    <x v="22"/>
    <x v="4"/>
    <x v="277"/>
    <x v="7"/>
    <x v="286"/>
    <x v="2"/>
    <x v="179"/>
    <x v="122"/>
    <x v="0"/>
    <x v="0"/>
    <x v="0"/>
    <x v="539"/>
    <x v="533"/>
    <x v="24"/>
  </r>
  <r>
    <x v="159"/>
    <x v="20"/>
    <x v="22"/>
    <x v="10"/>
    <x v="278"/>
    <x v="7"/>
    <x v="287"/>
    <x v="2"/>
    <x v="191"/>
    <x v="0"/>
    <x v="0"/>
    <x v="0"/>
    <x v="0"/>
    <x v="540"/>
    <x v="534"/>
    <x v="52"/>
  </r>
  <r>
    <x v="159"/>
    <x v="20"/>
    <x v="22"/>
    <x v="4"/>
    <x v="279"/>
    <x v="7"/>
    <x v="288"/>
    <x v="2"/>
    <x v="195"/>
    <x v="123"/>
    <x v="0"/>
    <x v="0"/>
    <x v="0"/>
    <x v="541"/>
    <x v="535"/>
    <x v="24"/>
  </r>
  <r>
    <x v="160"/>
    <x v="5"/>
    <x v="5"/>
    <x v="3"/>
    <x v="5"/>
    <x v="6"/>
    <x v="6"/>
    <x v="0"/>
    <x v="0"/>
    <x v="0"/>
    <x v="0"/>
    <x v="0"/>
    <x v="0"/>
    <x v="125"/>
    <x v="536"/>
    <x v="6"/>
  </r>
  <r>
    <x v="160"/>
    <x v="2"/>
    <x v="2"/>
    <x v="10"/>
    <x v="280"/>
    <x v="5"/>
    <x v="289"/>
    <x v="2"/>
    <x v="212"/>
    <x v="0"/>
    <x v="48"/>
    <x v="0"/>
    <x v="0"/>
    <x v="542"/>
    <x v="537"/>
    <x v="16"/>
  </r>
  <r>
    <x v="160"/>
    <x v="21"/>
    <x v="23"/>
    <x v="10"/>
    <x v="281"/>
    <x v="2"/>
    <x v="290"/>
    <x v="2"/>
    <x v="63"/>
    <x v="0"/>
    <x v="33"/>
    <x v="0"/>
    <x v="0"/>
    <x v="543"/>
    <x v="538"/>
    <x v="60"/>
  </r>
  <r>
    <x v="161"/>
    <x v="20"/>
    <x v="22"/>
    <x v="10"/>
    <x v="282"/>
    <x v="36"/>
    <x v="291"/>
    <x v="2"/>
    <x v="167"/>
    <x v="0"/>
    <x v="0"/>
    <x v="0"/>
    <x v="0"/>
    <x v="544"/>
    <x v="539"/>
    <x v="61"/>
  </r>
  <r>
    <x v="162"/>
    <x v="20"/>
    <x v="22"/>
    <x v="4"/>
    <x v="283"/>
    <x v="36"/>
    <x v="292"/>
    <x v="2"/>
    <x v="112"/>
    <x v="27"/>
    <x v="0"/>
    <x v="0"/>
    <x v="0"/>
    <x v="545"/>
    <x v="540"/>
    <x v="24"/>
  </r>
  <r>
    <x v="162"/>
    <x v="2"/>
    <x v="2"/>
    <x v="4"/>
    <x v="284"/>
    <x v="5"/>
    <x v="293"/>
    <x v="2"/>
    <x v="212"/>
    <x v="124"/>
    <x v="48"/>
    <x v="0"/>
    <x v="0"/>
    <x v="546"/>
    <x v="541"/>
    <x v="2"/>
  </r>
  <r>
    <x v="163"/>
    <x v="5"/>
    <x v="5"/>
    <x v="5"/>
    <x v="5"/>
    <x v="6"/>
    <x v="6"/>
    <x v="0"/>
    <x v="0"/>
    <x v="0"/>
    <x v="0"/>
    <x v="0"/>
    <x v="0"/>
    <x v="547"/>
    <x v="542"/>
    <x v="6"/>
  </r>
  <r>
    <x v="163"/>
    <x v="5"/>
    <x v="5"/>
    <x v="6"/>
    <x v="5"/>
    <x v="6"/>
    <x v="6"/>
    <x v="0"/>
    <x v="0"/>
    <x v="0"/>
    <x v="0"/>
    <x v="0"/>
    <x v="0"/>
    <x v="548"/>
    <x v="543"/>
    <x v="6"/>
  </r>
  <r>
    <x v="164"/>
    <x v="5"/>
    <x v="5"/>
    <x v="3"/>
    <x v="5"/>
    <x v="6"/>
    <x v="6"/>
    <x v="0"/>
    <x v="0"/>
    <x v="0"/>
    <x v="0"/>
    <x v="0"/>
    <x v="0"/>
    <x v="549"/>
    <x v="544"/>
    <x v="6"/>
  </r>
  <r>
    <x v="164"/>
    <x v="6"/>
    <x v="6"/>
    <x v="1"/>
    <x v="285"/>
    <x v="5"/>
    <x v="294"/>
    <x v="179"/>
    <x v="213"/>
    <x v="0"/>
    <x v="46"/>
    <x v="0"/>
    <x v="0"/>
    <x v="550"/>
    <x v="545"/>
    <x v="8"/>
  </r>
  <r>
    <x v="164"/>
    <x v="5"/>
    <x v="5"/>
    <x v="2"/>
    <x v="5"/>
    <x v="6"/>
    <x v="6"/>
    <x v="0"/>
    <x v="0"/>
    <x v="0"/>
    <x v="0"/>
    <x v="0"/>
    <x v="0"/>
    <x v="551"/>
    <x v="544"/>
    <x v="6"/>
  </r>
  <r>
    <x v="165"/>
    <x v="5"/>
    <x v="5"/>
    <x v="3"/>
    <x v="5"/>
    <x v="6"/>
    <x v="6"/>
    <x v="0"/>
    <x v="0"/>
    <x v="0"/>
    <x v="0"/>
    <x v="0"/>
    <x v="0"/>
    <x v="552"/>
    <x v="546"/>
    <x v="6"/>
  </r>
  <r>
    <x v="165"/>
    <x v="6"/>
    <x v="6"/>
    <x v="4"/>
    <x v="286"/>
    <x v="5"/>
    <x v="295"/>
    <x v="2"/>
    <x v="187"/>
    <x v="125"/>
    <x v="40"/>
    <x v="0"/>
    <x v="0"/>
    <x v="553"/>
    <x v="547"/>
    <x v="16"/>
  </r>
  <r>
    <x v="165"/>
    <x v="21"/>
    <x v="23"/>
    <x v="10"/>
    <x v="287"/>
    <x v="8"/>
    <x v="296"/>
    <x v="180"/>
    <x v="174"/>
    <x v="0"/>
    <x v="31"/>
    <x v="0"/>
    <x v="0"/>
    <x v="554"/>
    <x v="548"/>
    <x v="62"/>
  </r>
  <r>
    <x v="165"/>
    <x v="5"/>
    <x v="5"/>
    <x v="5"/>
    <x v="5"/>
    <x v="6"/>
    <x v="6"/>
    <x v="0"/>
    <x v="0"/>
    <x v="0"/>
    <x v="0"/>
    <x v="0"/>
    <x v="0"/>
    <x v="555"/>
    <x v="549"/>
    <x v="6"/>
  </r>
  <r>
    <x v="166"/>
    <x v="6"/>
    <x v="6"/>
    <x v="1"/>
    <x v="288"/>
    <x v="5"/>
    <x v="297"/>
    <x v="181"/>
    <x v="122"/>
    <x v="0"/>
    <x v="46"/>
    <x v="0"/>
    <x v="0"/>
    <x v="556"/>
    <x v="550"/>
    <x v="8"/>
  </r>
  <r>
    <x v="166"/>
    <x v="5"/>
    <x v="5"/>
    <x v="2"/>
    <x v="5"/>
    <x v="6"/>
    <x v="6"/>
    <x v="0"/>
    <x v="0"/>
    <x v="0"/>
    <x v="0"/>
    <x v="0"/>
    <x v="0"/>
    <x v="557"/>
    <x v="549"/>
    <x v="6"/>
  </r>
  <r>
    <x v="167"/>
    <x v="6"/>
    <x v="6"/>
    <x v="4"/>
    <x v="181"/>
    <x v="5"/>
    <x v="298"/>
    <x v="2"/>
    <x v="214"/>
    <x v="126"/>
    <x v="46"/>
    <x v="0"/>
    <x v="0"/>
    <x v="558"/>
    <x v="551"/>
    <x v="16"/>
  </r>
  <r>
    <x v="167"/>
    <x v="5"/>
    <x v="5"/>
    <x v="5"/>
    <x v="5"/>
    <x v="6"/>
    <x v="6"/>
    <x v="0"/>
    <x v="0"/>
    <x v="0"/>
    <x v="0"/>
    <x v="0"/>
    <x v="0"/>
    <x v="559"/>
    <x v="552"/>
    <x v="6"/>
  </r>
  <r>
    <x v="168"/>
    <x v="6"/>
    <x v="6"/>
    <x v="4"/>
    <x v="249"/>
    <x v="5"/>
    <x v="299"/>
    <x v="2"/>
    <x v="2"/>
    <x v="125"/>
    <x v="40"/>
    <x v="0"/>
    <x v="0"/>
    <x v="560"/>
    <x v="553"/>
    <x v="2"/>
  </r>
  <r>
    <x v="168"/>
    <x v="12"/>
    <x v="12"/>
    <x v="1"/>
    <x v="289"/>
    <x v="8"/>
    <x v="300"/>
    <x v="182"/>
    <x v="215"/>
    <x v="0"/>
    <x v="29"/>
    <x v="0"/>
    <x v="0"/>
    <x v="561"/>
    <x v="554"/>
    <x v="8"/>
  </r>
  <r>
    <x v="168"/>
    <x v="6"/>
    <x v="6"/>
    <x v="1"/>
    <x v="290"/>
    <x v="5"/>
    <x v="301"/>
    <x v="183"/>
    <x v="216"/>
    <x v="0"/>
    <x v="40"/>
    <x v="0"/>
    <x v="0"/>
    <x v="562"/>
    <x v="555"/>
    <x v="16"/>
  </r>
  <r>
    <x v="168"/>
    <x v="6"/>
    <x v="6"/>
    <x v="4"/>
    <x v="291"/>
    <x v="5"/>
    <x v="302"/>
    <x v="2"/>
    <x v="2"/>
    <x v="127"/>
    <x v="40"/>
    <x v="0"/>
    <x v="0"/>
    <x v="563"/>
    <x v="556"/>
    <x v="2"/>
  </r>
  <r>
    <x v="168"/>
    <x v="5"/>
    <x v="5"/>
    <x v="2"/>
    <x v="5"/>
    <x v="6"/>
    <x v="6"/>
    <x v="0"/>
    <x v="0"/>
    <x v="0"/>
    <x v="0"/>
    <x v="0"/>
    <x v="0"/>
    <x v="564"/>
    <x v="557"/>
    <x v="6"/>
  </r>
  <r>
    <x v="168"/>
    <x v="5"/>
    <x v="5"/>
    <x v="2"/>
    <x v="5"/>
    <x v="6"/>
    <x v="6"/>
    <x v="0"/>
    <x v="0"/>
    <x v="0"/>
    <x v="0"/>
    <x v="0"/>
    <x v="0"/>
    <x v="565"/>
    <x v="558"/>
    <x v="6"/>
  </r>
  <r>
    <x v="168"/>
    <x v="5"/>
    <x v="5"/>
    <x v="5"/>
    <x v="5"/>
    <x v="6"/>
    <x v="6"/>
    <x v="0"/>
    <x v="0"/>
    <x v="0"/>
    <x v="0"/>
    <x v="0"/>
    <x v="0"/>
    <x v="566"/>
    <x v="559"/>
    <x v="6"/>
  </r>
  <r>
    <x v="168"/>
    <x v="5"/>
    <x v="5"/>
    <x v="5"/>
    <x v="5"/>
    <x v="6"/>
    <x v="6"/>
    <x v="0"/>
    <x v="0"/>
    <x v="0"/>
    <x v="0"/>
    <x v="0"/>
    <x v="0"/>
    <x v="567"/>
    <x v="560"/>
    <x v="6"/>
  </r>
  <r>
    <x v="168"/>
    <x v="5"/>
    <x v="5"/>
    <x v="5"/>
    <x v="5"/>
    <x v="6"/>
    <x v="6"/>
    <x v="0"/>
    <x v="0"/>
    <x v="0"/>
    <x v="0"/>
    <x v="0"/>
    <x v="0"/>
    <x v="568"/>
    <x v="561"/>
    <x v="6"/>
  </r>
  <r>
    <x v="168"/>
    <x v="5"/>
    <x v="5"/>
    <x v="5"/>
    <x v="5"/>
    <x v="6"/>
    <x v="6"/>
    <x v="0"/>
    <x v="0"/>
    <x v="0"/>
    <x v="0"/>
    <x v="0"/>
    <x v="0"/>
    <x v="569"/>
    <x v="562"/>
    <x v="6"/>
  </r>
  <r>
    <x v="168"/>
    <x v="5"/>
    <x v="5"/>
    <x v="6"/>
    <x v="5"/>
    <x v="6"/>
    <x v="6"/>
    <x v="0"/>
    <x v="0"/>
    <x v="0"/>
    <x v="0"/>
    <x v="0"/>
    <x v="0"/>
    <x v="570"/>
    <x v="563"/>
    <x v="6"/>
  </r>
  <r>
    <x v="168"/>
    <x v="5"/>
    <x v="5"/>
    <x v="6"/>
    <x v="5"/>
    <x v="6"/>
    <x v="6"/>
    <x v="0"/>
    <x v="0"/>
    <x v="0"/>
    <x v="0"/>
    <x v="0"/>
    <x v="0"/>
    <x v="571"/>
    <x v="564"/>
    <x v="6"/>
  </r>
  <r>
    <x v="169"/>
    <x v="6"/>
    <x v="6"/>
    <x v="1"/>
    <x v="292"/>
    <x v="5"/>
    <x v="303"/>
    <x v="184"/>
    <x v="217"/>
    <x v="0"/>
    <x v="46"/>
    <x v="0"/>
    <x v="0"/>
    <x v="572"/>
    <x v="565"/>
    <x v="16"/>
  </r>
  <r>
    <x v="169"/>
    <x v="12"/>
    <x v="12"/>
    <x v="4"/>
    <x v="293"/>
    <x v="8"/>
    <x v="304"/>
    <x v="185"/>
    <x v="174"/>
    <x v="128"/>
    <x v="31"/>
    <x v="0"/>
    <x v="0"/>
    <x v="573"/>
    <x v="566"/>
    <x v="6"/>
  </r>
  <r>
    <x v="169"/>
    <x v="6"/>
    <x v="6"/>
    <x v="4"/>
    <x v="294"/>
    <x v="5"/>
    <x v="305"/>
    <x v="2"/>
    <x v="208"/>
    <x v="129"/>
    <x v="46"/>
    <x v="0"/>
    <x v="0"/>
    <x v="574"/>
    <x v="567"/>
    <x v="2"/>
  </r>
  <r>
    <x v="169"/>
    <x v="12"/>
    <x v="12"/>
    <x v="1"/>
    <x v="295"/>
    <x v="8"/>
    <x v="306"/>
    <x v="186"/>
    <x v="218"/>
    <x v="0"/>
    <x v="39"/>
    <x v="0"/>
    <x v="0"/>
    <x v="575"/>
    <x v="568"/>
    <x v="8"/>
  </r>
  <r>
    <x v="169"/>
    <x v="5"/>
    <x v="5"/>
    <x v="2"/>
    <x v="5"/>
    <x v="6"/>
    <x v="6"/>
    <x v="0"/>
    <x v="0"/>
    <x v="0"/>
    <x v="0"/>
    <x v="0"/>
    <x v="0"/>
    <x v="576"/>
    <x v="569"/>
    <x v="6"/>
  </r>
  <r>
    <x v="169"/>
    <x v="5"/>
    <x v="5"/>
    <x v="2"/>
    <x v="5"/>
    <x v="6"/>
    <x v="6"/>
    <x v="0"/>
    <x v="0"/>
    <x v="0"/>
    <x v="0"/>
    <x v="0"/>
    <x v="0"/>
    <x v="577"/>
    <x v="570"/>
    <x v="6"/>
  </r>
  <r>
    <x v="169"/>
    <x v="5"/>
    <x v="5"/>
    <x v="5"/>
    <x v="5"/>
    <x v="6"/>
    <x v="6"/>
    <x v="0"/>
    <x v="0"/>
    <x v="0"/>
    <x v="0"/>
    <x v="0"/>
    <x v="0"/>
    <x v="578"/>
    <x v="571"/>
    <x v="6"/>
  </r>
  <r>
    <x v="169"/>
    <x v="5"/>
    <x v="5"/>
    <x v="5"/>
    <x v="5"/>
    <x v="6"/>
    <x v="6"/>
    <x v="0"/>
    <x v="0"/>
    <x v="0"/>
    <x v="0"/>
    <x v="0"/>
    <x v="0"/>
    <x v="579"/>
    <x v="572"/>
    <x v="6"/>
  </r>
  <r>
    <x v="169"/>
    <x v="5"/>
    <x v="5"/>
    <x v="5"/>
    <x v="5"/>
    <x v="6"/>
    <x v="6"/>
    <x v="0"/>
    <x v="0"/>
    <x v="0"/>
    <x v="0"/>
    <x v="0"/>
    <x v="0"/>
    <x v="580"/>
    <x v="573"/>
    <x v="6"/>
  </r>
  <r>
    <x v="169"/>
    <x v="5"/>
    <x v="5"/>
    <x v="6"/>
    <x v="5"/>
    <x v="6"/>
    <x v="6"/>
    <x v="0"/>
    <x v="0"/>
    <x v="0"/>
    <x v="0"/>
    <x v="0"/>
    <x v="0"/>
    <x v="581"/>
    <x v="574"/>
    <x v="6"/>
  </r>
  <r>
    <x v="170"/>
    <x v="12"/>
    <x v="12"/>
    <x v="4"/>
    <x v="296"/>
    <x v="8"/>
    <x v="307"/>
    <x v="187"/>
    <x v="31"/>
    <x v="130"/>
    <x v="49"/>
    <x v="0"/>
    <x v="0"/>
    <x v="582"/>
    <x v="575"/>
    <x v="6"/>
  </r>
  <r>
    <x v="170"/>
    <x v="6"/>
    <x v="6"/>
    <x v="1"/>
    <x v="297"/>
    <x v="7"/>
    <x v="308"/>
    <x v="188"/>
    <x v="219"/>
    <x v="0"/>
    <x v="35"/>
    <x v="0"/>
    <x v="0"/>
    <x v="583"/>
    <x v="576"/>
    <x v="8"/>
  </r>
  <r>
    <x v="170"/>
    <x v="6"/>
    <x v="6"/>
    <x v="4"/>
    <x v="270"/>
    <x v="7"/>
    <x v="279"/>
    <x v="175"/>
    <x v="145"/>
    <x v="120"/>
    <x v="35"/>
    <x v="0"/>
    <x v="0"/>
    <x v="530"/>
    <x v="577"/>
    <x v="2"/>
  </r>
  <r>
    <x v="170"/>
    <x v="6"/>
    <x v="6"/>
    <x v="1"/>
    <x v="270"/>
    <x v="7"/>
    <x v="279"/>
    <x v="189"/>
    <x v="220"/>
    <x v="0"/>
    <x v="35"/>
    <x v="0"/>
    <x v="0"/>
    <x v="584"/>
    <x v="578"/>
    <x v="8"/>
  </r>
  <r>
    <x v="170"/>
    <x v="5"/>
    <x v="5"/>
    <x v="2"/>
    <x v="5"/>
    <x v="6"/>
    <x v="6"/>
    <x v="0"/>
    <x v="0"/>
    <x v="0"/>
    <x v="0"/>
    <x v="0"/>
    <x v="0"/>
    <x v="585"/>
    <x v="579"/>
    <x v="6"/>
  </r>
  <r>
    <x v="170"/>
    <x v="5"/>
    <x v="5"/>
    <x v="2"/>
    <x v="5"/>
    <x v="6"/>
    <x v="6"/>
    <x v="0"/>
    <x v="0"/>
    <x v="0"/>
    <x v="0"/>
    <x v="0"/>
    <x v="0"/>
    <x v="586"/>
    <x v="580"/>
    <x v="6"/>
  </r>
  <r>
    <x v="170"/>
    <x v="5"/>
    <x v="5"/>
    <x v="5"/>
    <x v="5"/>
    <x v="6"/>
    <x v="6"/>
    <x v="0"/>
    <x v="0"/>
    <x v="0"/>
    <x v="0"/>
    <x v="0"/>
    <x v="0"/>
    <x v="587"/>
    <x v="581"/>
    <x v="6"/>
  </r>
  <r>
    <x v="170"/>
    <x v="5"/>
    <x v="5"/>
    <x v="5"/>
    <x v="5"/>
    <x v="6"/>
    <x v="6"/>
    <x v="0"/>
    <x v="0"/>
    <x v="0"/>
    <x v="0"/>
    <x v="0"/>
    <x v="0"/>
    <x v="588"/>
    <x v="582"/>
    <x v="6"/>
  </r>
  <r>
    <x v="170"/>
    <x v="5"/>
    <x v="5"/>
    <x v="5"/>
    <x v="5"/>
    <x v="6"/>
    <x v="6"/>
    <x v="0"/>
    <x v="0"/>
    <x v="0"/>
    <x v="0"/>
    <x v="0"/>
    <x v="0"/>
    <x v="589"/>
    <x v="583"/>
    <x v="6"/>
  </r>
  <r>
    <x v="170"/>
    <x v="5"/>
    <x v="5"/>
    <x v="5"/>
    <x v="5"/>
    <x v="6"/>
    <x v="6"/>
    <x v="0"/>
    <x v="0"/>
    <x v="0"/>
    <x v="0"/>
    <x v="0"/>
    <x v="0"/>
    <x v="562"/>
    <x v="584"/>
    <x v="6"/>
  </r>
  <r>
    <x v="170"/>
    <x v="5"/>
    <x v="5"/>
    <x v="5"/>
    <x v="5"/>
    <x v="6"/>
    <x v="6"/>
    <x v="0"/>
    <x v="0"/>
    <x v="0"/>
    <x v="0"/>
    <x v="0"/>
    <x v="0"/>
    <x v="590"/>
    <x v="585"/>
    <x v="6"/>
  </r>
  <r>
    <x v="170"/>
    <x v="5"/>
    <x v="5"/>
    <x v="6"/>
    <x v="5"/>
    <x v="6"/>
    <x v="6"/>
    <x v="0"/>
    <x v="0"/>
    <x v="0"/>
    <x v="0"/>
    <x v="0"/>
    <x v="0"/>
    <x v="591"/>
    <x v="586"/>
    <x v="6"/>
  </r>
  <r>
    <x v="170"/>
    <x v="5"/>
    <x v="5"/>
    <x v="6"/>
    <x v="5"/>
    <x v="6"/>
    <x v="6"/>
    <x v="0"/>
    <x v="0"/>
    <x v="0"/>
    <x v="0"/>
    <x v="0"/>
    <x v="0"/>
    <x v="592"/>
    <x v="587"/>
    <x v="6"/>
  </r>
  <r>
    <x v="170"/>
    <x v="5"/>
    <x v="5"/>
    <x v="6"/>
    <x v="5"/>
    <x v="6"/>
    <x v="6"/>
    <x v="0"/>
    <x v="0"/>
    <x v="0"/>
    <x v="0"/>
    <x v="0"/>
    <x v="0"/>
    <x v="593"/>
    <x v="588"/>
    <x v="6"/>
  </r>
  <r>
    <x v="171"/>
    <x v="6"/>
    <x v="6"/>
    <x v="4"/>
    <x v="298"/>
    <x v="7"/>
    <x v="309"/>
    <x v="29"/>
    <x v="73"/>
    <x v="131"/>
    <x v="31"/>
    <x v="0"/>
    <x v="0"/>
    <x v="594"/>
    <x v="589"/>
    <x v="2"/>
  </r>
  <r>
    <x v="171"/>
    <x v="5"/>
    <x v="5"/>
    <x v="5"/>
    <x v="5"/>
    <x v="6"/>
    <x v="6"/>
    <x v="0"/>
    <x v="0"/>
    <x v="0"/>
    <x v="0"/>
    <x v="0"/>
    <x v="0"/>
    <x v="595"/>
    <x v="590"/>
    <x v="6"/>
  </r>
  <r>
    <x v="171"/>
    <x v="5"/>
    <x v="5"/>
    <x v="5"/>
    <x v="5"/>
    <x v="6"/>
    <x v="6"/>
    <x v="0"/>
    <x v="0"/>
    <x v="0"/>
    <x v="0"/>
    <x v="0"/>
    <x v="0"/>
    <x v="596"/>
    <x v="591"/>
    <x v="6"/>
  </r>
  <r>
    <x v="171"/>
    <x v="5"/>
    <x v="5"/>
    <x v="6"/>
    <x v="5"/>
    <x v="6"/>
    <x v="6"/>
    <x v="0"/>
    <x v="0"/>
    <x v="0"/>
    <x v="0"/>
    <x v="0"/>
    <x v="0"/>
    <x v="597"/>
    <x v="592"/>
    <x v="6"/>
  </r>
  <r>
    <x v="172"/>
    <x v="21"/>
    <x v="23"/>
    <x v="4"/>
    <x v="287"/>
    <x v="2"/>
    <x v="310"/>
    <x v="2"/>
    <x v="28"/>
    <x v="132"/>
    <x v="34"/>
    <x v="0"/>
    <x v="0"/>
    <x v="598"/>
    <x v="593"/>
    <x v="63"/>
  </r>
  <r>
    <x v="172"/>
    <x v="6"/>
    <x v="6"/>
    <x v="1"/>
    <x v="299"/>
    <x v="7"/>
    <x v="311"/>
    <x v="190"/>
    <x v="221"/>
    <x v="0"/>
    <x v="31"/>
    <x v="0"/>
    <x v="0"/>
    <x v="599"/>
    <x v="594"/>
    <x v="8"/>
  </r>
  <r>
    <x v="172"/>
    <x v="6"/>
    <x v="6"/>
    <x v="4"/>
    <x v="300"/>
    <x v="7"/>
    <x v="312"/>
    <x v="180"/>
    <x v="175"/>
    <x v="133"/>
    <x v="31"/>
    <x v="0"/>
    <x v="0"/>
    <x v="600"/>
    <x v="595"/>
    <x v="2"/>
  </r>
  <r>
    <x v="172"/>
    <x v="5"/>
    <x v="5"/>
    <x v="2"/>
    <x v="5"/>
    <x v="6"/>
    <x v="6"/>
    <x v="0"/>
    <x v="0"/>
    <x v="0"/>
    <x v="0"/>
    <x v="0"/>
    <x v="0"/>
    <x v="601"/>
    <x v="596"/>
    <x v="6"/>
  </r>
  <r>
    <x v="172"/>
    <x v="5"/>
    <x v="5"/>
    <x v="5"/>
    <x v="5"/>
    <x v="6"/>
    <x v="6"/>
    <x v="0"/>
    <x v="0"/>
    <x v="0"/>
    <x v="0"/>
    <x v="0"/>
    <x v="0"/>
    <x v="602"/>
    <x v="597"/>
    <x v="6"/>
  </r>
  <r>
    <x v="172"/>
    <x v="5"/>
    <x v="5"/>
    <x v="5"/>
    <x v="5"/>
    <x v="6"/>
    <x v="6"/>
    <x v="0"/>
    <x v="0"/>
    <x v="0"/>
    <x v="0"/>
    <x v="0"/>
    <x v="0"/>
    <x v="603"/>
    <x v="598"/>
    <x v="6"/>
  </r>
  <r>
    <x v="172"/>
    <x v="5"/>
    <x v="5"/>
    <x v="5"/>
    <x v="5"/>
    <x v="6"/>
    <x v="6"/>
    <x v="0"/>
    <x v="0"/>
    <x v="0"/>
    <x v="0"/>
    <x v="0"/>
    <x v="0"/>
    <x v="604"/>
    <x v="599"/>
    <x v="6"/>
  </r>
  <r>
    <x v="172"/>
    <x v="5"/>
    <x v="5"/>
    <x v="5"/>
    <x v="5"/>
    <x v="6"/>
    <x v="6"/>
    <x v="0"/>
    <x v="0"/>
    <x v="0"/>
    <x v="0"/>
    <x v="0"/>
    <x v="0"/>
    <x v="605"/>
    <x v="600"/>
    <x v="6"/>
  </r>
  <r>
    <x v="172"/>
    <x v="5"/>
    <x v="5"/>
    <x v="6"/>
    <x v="5"/>
    <x v="6"/>
    <x v="6"/>
    <x v="0"/>
    <x v="0"/>
    <x v="0"/>
    <x v="0"/>
    <x v="0"/>
    <x v="0"/>
    <x v="606"/>
    <x v="601"/>
    <x v="6"/>
  </r>
  <r>
    <x v="172"/>
    <x v="5"/>
    <x v="5"/>
    <x v="6"/>
    <x v="5"/>
    <x v="6"/>
    <x v="6"/>
    <x v="0"/>
    <x v="0"/>
    <x v="0"/>
    <x v="0"/>
    <x v="0"/>
    <x v="0"/>
    <x v="607"/>
    <x v="602"/>
    <x v="6"/>
  </r>
  <r>
    <x v="173"/>
    <x v="5"/>
    <x v="5"/>
    <x v="13"/>
    <x v="5"/>
    <x v="6"/>
    <x v="6"/>
    <x v="0"/>
    <x v="0"/>
    <x v="0"/>
    <x v="0"/>
    <x v="0"/>
    <x v="0"/>
    <x v="608"/>
    <x v="603"/>
    <x v="6"/>
  </r>
  <r>
    <x v="174"/>
    <x v="20"/>
    <x v="22"/>
    <x v="1"/>
    <x v="301"/>
    <x v="8"/>
    <x v="313"/>
    <x v="191"/>
    <x v="222"/>
    <x v="0"/>
    <x v="0"/>
    <x v="0"/>
    <x v="0"/>
    <x v="609"/>
    <x v="604"/>
    <x v="50"/>
  </r>
  <r>
    <x v="174"/>
    <x v="5"/>
    <x v="5"/>
    <x v="2"/>
    <x v="5"/>
    <x v="6"/>
    <x v="6"/>
    <x v="0"/>
    <x v="0"/>
    <x v="0"/>
    <x v="0"/>
    <x v="0"/>
    <x v="0"/>
    <x v="610"/>
    <x v="603"/>
    <x v="6"/>
  </r>
  <r>
    <x v="175"/>
    <x v="20"/>
    <x v="22"/>
    <x v="14"/>
    <x v="5"/>
    <x v="6"/>
    <x v="314"/>
    <x v="0"/>
    <x v="0"/>
    <x v="0"/>
    <x v="0"/>
    <x v="0"/>
    <x v="0"/>
    <x v="611"/>
    <x v="605"/>
    <x v="6"/>
  </r>
  <r>
    <x v="176"/>
    <x v="21"/>
    <x v="23"/>
    <x v="1"/>
    <x v="302"/>
    <x v="2"/>
    <x v="315"/>
    <x v="192"/>
    <x v="223"/>
    <x v="0"/>
    <x v="42"/>
    <x v="0"/>
    <x v="0"/>
    <x v="612"/>
    <x v="606"/>
    <x v="62"/>
  </r>
  <r>
    <x v="176"/>
    <x v="5"/>
    <x v="5"/>
    <x v="2"/>
    <x v="5"/>
    <x v="6"/>
    <x v="6"/>
    <x v="0"/>
    <x v="0"/>
    <x v="0"/>
    <x v="0"/>
    <x v="0"/>
    <x v="0"/>
    <x v="613"/>
    <x v="605"/>
    <x v="6"/>
  </r>
  <r>
    <x v="177"/>
    <x v="20"/>
    <x v="22"/>
    <x v="4"/>
    <x v="303"/>
    <x v="8"/>
    <x v="217"/>
    <x v="2"/>
    <x v="224"/>
    <x v="134"/>
    <x v="0"/>
    <x v="0"/>
    <x v="0"/>
    <x v="614"/>
    <x v="607"/>
    <x v="24"/>
  </r>
  <r>
    <x v="177"/>
    <x v="5"/>
    <x v="5"/>
    <x v="5"/>
    <x v="5"/>
    <x v="6"/>
    <x v="6"/>
    <x v="0"/>
    <x v="0"/>
    <x v="0"/>
    <x v="0"/>
    <x v="0"/>
    <x v="0"/>
    <x v="609"/>
    <x v="608"/>
    <x v="6"/>
  </r>
  <r>
    <x v="177"/>
    <x v="5"/>
    <x v="5"/>
    <x v="6"/>
    <x v="5"/>
    <x v="6"/>
    <x v="6"/>
    <x v="0"/>
    <x v="0"/>
    <x v="0"/>
    <x v="0"/>
    <x v="0"/>
    <x v="0"/>
    <x v="615"/>
    <x v="609"/>
    <x v="6"/>
  </r>
  <r>
    <x v="178"/>
    <x v="20"/>
    <x v="22"/>
    <x v="16"/>
    <x v="5"/>
    <x v="6"/>
    <x v="6"/>
    <x v="0"/>
    <x v="0"/>
    <x v="0"/>
    <x v="0"/>
    <x v="0"/>
    <x v="0"/>
    <x v="616"/>
    <x v="610"/>
    <x v="6"/>
  </r>
  <r>
    <x v="179"/>
    <x v="21"/>
    <x v="23"/>
    <x v="1"/>
    <x v="81"/>
    <x v="2"/>
    <x v="316"/>
    <x v="193"/>
    <x v="225"/>
    <x v="0"/>
    <x v="33"/>
    <x v="0"/>
    <x v="0"/>
    <x v="617"/>
    <x v="611"/>
    <x v="64"/>
  </r>
  <r>
    <x v="179"/>
    <x v="21"/>
    <x v="23"/>
    <x v="4"/>
    <x v="304"/>
    <x v="2"/>
    <x v="317"/>
    <x v="2"/>
    <x v="28"/>
    <x v="135"/>
    <x v="34"/>
    <x v="0"/>
    <x v="0"/>
    <x v="618"/>
    <x v="612"/>
    <x v="62"/>
  </r>
  <r>
    <x v="179"/>
    <x v="5"/>
    <x v="5"/>
    <x v="2"/>
    <x v="5"/>
    <x v="6"/>
    <x v="6"/>
    <x v="0"/>
    <x v="0"/>
    <x v="0"/>
    <x v="0"/>
    <x v="0"/>
    <x v="0"/>
    <x v="619"/>
    <x v="613"/>
    <x v="6"/>
  </r>
  <r>
    <x v="179"/>
    <x v="5"/>
    <x v="5"/>
    <x v="5"/>
    <x v="5"/>
    <x v="6"/>
    <x v="6"/>
    <x v="0"/>
    <x v="0"/>
    <x v="0"/>
    <x v="0"/>
    <x v="0"/>
    <x v="0"/>
    <x v="620"/>
    <x v="614"/>
    <x v="6"/>
  </r>
  <r>
    <x v="179"/>
    <x v="5"/>
    <x v="5"/>
    <x v="5"/>
    <x v="5"/>
    <x v="6"/>
    <x v="6"/>
    <x v="0"/>
    <x v="0"/>
    <x v="0"/>
    <x v="0"/>
    <x v="0"/>
    <x v="0"/>
    <x v="621"/>
    <x v="615"/>
    <x v="6"/>
  </r>
  <r>
    <x v="179"/>
    <x v="5"/>
    <x v="5"/>
    <x v="6"/>
    <x v="5"/>
    <x v="6"/>
    <x v="6"/>
    <x v="0"/>
    <x v="0"/>
    <x v="0"/>
    <x v="0"/>
    <x v="0"/>
    <x v="0"/>
    <x v="622"/>
    <x v="616"/>
    <x v="6"/>
  </r>
  <r>
    <x v="180"/>
    <x v="2"/>
    <x v="2"/>
    <x v="4"/>
    <x v="297"/>
    <x v="7"/>
    <x v="308"/>
    <x v="194"/>
    <x v="226"/>
    <x v="136"/>
    <x v="35"/>
    <x v="0"/>
    <x v="0"/>
    <x v="623"/>
    <x v="617"/>
    <x v="10"/>
  </r>
  <r>
    <x v="181"/>
    <x v="12"/>
    <x v="12"/>
    <x v="10"/>
    <x v="305"/>
    <x v="7"/>
    <x v="318"/>
    <x v="2"/>
    <x v="111"/>
    <x v="0"/>
    <x v="50"/>
    <x v="0"/>
    <x v="0"/>
    <x v="624"/>
    <x v="618"/>
    <x v="10"/>
  </r>
  <r>
    <x v="181"/>
    <x v="12"/>
    <x v="12"/>
    <x v="10"/>
    <x v="306"/>
    <x v="7"/>
    <x v="319"/>
    <x v="2"/>
    <x v="195"/>
    <x v="0"/>
    <x v="51"/>
    <x v="0"/>
    <x v="0"/>
    <x v="625"/>
    <x v="619"/>
    <x v="2"/>
  </r>
  <r>
    <x v="182"/>
    <x v="2"/>
    <x v="2"/>
    <x v="4"/>
    <x v="79"/>
    <x v="7"/>
    <x v="172"/>
    <x v="124"/>
    <x v="111"/>
    <x v="73"/>
    <x v="35"/>
    <x v="0"/>
    <x v="0"/>
    <x v="626"/>
    <x v="620"/>
    <x v="6"/>
  </r>
  <r>
    <x v="182"/>
    <x v="12"/>
    <x v="12"/>
    <x v="4"/>
    <x v="302"/>
    <x v="2"/>
    <x v="315"/>
    <x v="2"/>
    <x v="131"/>
    <x v="137"/>
    <x v="42"/>
    <x v="0"/>
    <x v="0"/>
    <x v="627"/>
    <x v="621"/>
    <x v="6"/>
  </r>
  <r>
    <x v="182"/>
    <x v="5"/>
    <x v="5"/>
    <x v="5"/>
    <x v="5"/>
    <x v="6"/>
    <x v="6"/>
    <x v="0"/>
    <x v="0"/>
    <x v="0"/>
    <x v="0"/>
    <x v="0"/>
    <x v="0"/>
    <x v="628"/>
    <x v="622"/>
    <x v="6"/>
  </r>
  <r>
    <x v="182"/>
    <x v="5"/>
    <x v="5"/>
    <x v="6"/>
    <x v="5"/>
    <x v="6"/>
    <x v="6"/>
    <x v="0"/>
    <x v="0"/>
    <x v="0"/>
    <x v="0"/>
    <x v="0"/>
    <x v="0"/>
    <x v="629"/>
    <x v="623"/>
    <x v="6"/>
  </r>
  <r>
    <x v="183"/>
    <x v="12"/>
    <x v="12"/>
    <x v="10"/>
    <x v="58"/>
    <x v="2"/>
    <x v="61"/>
    <x v="2"/>
    <x v="117"/>
    <x v="0"/>
    <x v="34"/>
    <x v="0"/>
    <x v="0"/>
    <x v="630"/>
    <x v="624"/>
    <x v="2"/>
  </r>
  <r>
    <x v="183"/>
    <x v="21"/>
    <x v="23"/>
    <x v="4"/>
    <x v="307"/>
    <x v="2"/>
    <x v="320"/>
    <x v="2"/>
    <x v="131"/>
    <x v="138"/>
    <x v="42"/>
    <x v="0"/>
    <x v="0"/>
    <x v="631"/>
    <x v="625"/>
    <x v="63"/>
  </r>
  <r>
    <x v="183"/>
    <x v="5"/>
    <x v="5"/>
    <x v="5"/>
    <x v="5"/>
    <x v="6"/>
    <x v="6"/>
    <x v="0"/>
    <x v="0"/>
    <x v="0"/>
    <x v="0"/>
    <x v="0"/>
    <x v="0"/>
    <x v="632"/>
    <x v="626"/>
    <x v="6"/>
  </r>
  <r>
    <x v="183"/>
    <x v="5"/>
    <x v="5"/>
    <x v="5"/>
    <x v="5"/>
    <x v="6"/>
    <x v="6"/>
    <x v="0"/>
    <x v="0"/>
    <x v="0"/>
    <x v="0"/>
    <x v="0"/>
    <x v="0"/>
    <x v="633"/>
    <x v="627"/>
    <x v="6"/>
  </r>
  <r>
    <x v="183"/>
    <x v="5"/>
    <x v="5"/>
    <x v="6"/>
    <x v="5"/>
    <x v="6"/>
    <x v="6"/>
    <x v="0"/>
    <x v="0"/>
    <x v="0"/>
    <x v="0"/>
    <x v="0"/>
    <x v="0"/>
    <x v="634"/>
    <x v="628"/>
    <x v="6"/>
  </r>
  <r>
    <x v="184"/>
    <x v="21"/>
    <x v="23"/>
    <x v="10"/>
    <x v="308"/>
    <x v="2"/>
    <x v="321"/>
    <x v="2"/>
    <x v="193"/>
    <x v="0"/>
    <x v="42"/>
    <x v="0"/>
    <x v="0"/>
    <x v="635"/>
    <x v="629"/>
    <x v="62"/>
  </r>
  <r>
    <x v="185"/>
    <x v="12"/>
    <x v="12"/>
    <x v="4"/>
    <x v="309"/>
    <x v="2"/>
    <x v="322"/>
    <x v="2"/>
    <x v="50"/>
    <x v="139"/>
    <x v="47"/>
    <x v="0"/>
    <x v="0"/>
    <x v="636"/>
    <x v="630"/>
    <x v="6"/>
  </r>
  <r>
    <x v="185"/>
    <x v="20"/>
    <x v="22"/>
    <x v="10"/>
    <x v="310"/>
    <x v="8"/>
    <x v="66"/>
    <x v="2"/>
    <x v="133"/>
    <x v="0"/>
    <x v="0"/>
    <x v="0"/>
    <x v="0"/>
    <x v="637"/>
    <x v="631"/>
    <x v="50"/>
  </r>
  <r>
    <x v="186"/>
    <x v="12"/>
    <x v="12"/>
    <x v="10"/>
    <x v="240"/>
    <x v="4"/>
    <x v="323"/>
    <x v="2"/>
    <x v="65"/>
    <x v="0"/>
    <x v="33"/>
    <x v="0"/>
    <x v="0"/>
    <x v="638"/>
    <x v="632"/>
    <x v="20"/>
  </r>
  <r>
    <x v="187"/>
    <x v="6"/>
    <x v="6"/>
    <x v="14"/>
    <x v="5"/>
    <x v="7"/>
    <x v="324"/>
    <x v="0"/>
    <x v="0"/>
    <x v="0"/>
    <x v="0"/>
    <x v="0"/>
    <x v="0"/>
    <x v="639"/>
    <x v="633"/>
    <x v="6"/>
  </r>
  <r>
    <x v="187"/>
    <x v="6"/>
    <x v="6"/>
    <x v="4"/>
    <x v="311"/>
    <x v="7"/>
    <x v="325"/>
    <x v="195"/>
    <x v="227"/>
    <x v="140"/>
    <x v="24"/>
    <x v="0"/>
    <x v="0"/>
    <x v="640"/>
    <x v="634"/>
    <x v="10"/>
  </r>
  <r>
    <x v="187"/>
    <x v="5"/>
    <x v="5"/>
    <x v="5"/>
    <x v="5"/>
    <x v="6"/>
    <x v="6"/>
    <x v="0"/>
    <x v="0"/>
    <x v="0"/>
    <x v="0"/>
    <x v="0"/>
    <x v="0"/>
    <x v="641"/>
    <x v="635"/>
    <x v="6"/>
  </r>
  <r>
    <x v="187"/>
    <x v="5"/>
    <x v="5"/>
    <x v="5"/>
    <x v="5"/>
    <x v="6"/>
    <x v="6"/>
    <x v="0"/>
    <x v="0"/>
    <x v="0"/>
    <x v="0"/>
    <x v="0"/>
    <x v="0"/>
    <x v="599"/>
    <x v="636"/>
    <x v="6"/>
  </r>
  <r>
    <x v="187"/>
    <x v="5"/>
    <x v="5"/>
    <x v="6"/>
    <x v="5"/>
    <x v="6"/>
    <x v="6"/>
    <x v="0"/>
    <x v="0"/>
    <x v="0"/>
    <x v="0"/>
    <x v="0"/>
    <x v="0"/>
    <x v="642"/>
    <x v="637"/>
    <x v="6"/>
  </r>
  <r>
    <x v="187"/>
    <x v="5"/>
    <x v="5"/>
    <x v="6"/>
    <x v="5"/>
    <x v="6"/>
    <x v="6"/>
    <x v="0"/>
    <x v="0"/>
    <x v="0"/>
    <x v="0"/>
    <x v="0"/>
    <x v="0"/>
    <x v="643"/>
    <x v="638"/>
    <x v="6"/>
  </r>
  <r>
    <x v="188"/>
    <x v="12"/>
    <x v="12"/>
    <x v="4"/>
    <x v="302"/>
    <x v="4"/>
    <x v="326"/>
    <x v="2"/>
    <x v="28"/>
    <x v="141"/>
    <x v="34"/>
    <x v="0"/>
    <x v="0"/>
    <x v="644"/>
    <x v="639"/>
    <x v="6"/>
  </r>
  <r>
    <x v="188"/>
    <x v="5"/>
    <x v="5"/>
    <x v="5"/>
    <x v="5"/>
    <x v="6"/>
    <x v="6"/>
    <x v="0"/>
    <x v="0"/>
    <x v="0"/>
    <x v="0"/>
    <x v="0"/>
    <x v="0"/>
    <x v="645"/>
    <x v="640"/>
    <x v="6"/>
  </r>
  <r>
    <x v="188"/>
    <x v="5"/>
    <x v="5"/>
    <x v="5"/>
    <x v="5"/>
    <x v="6"/>
    <x v="6"/>
    <x v="0"/>
    <x v="0"/>
    <x v="0"/>
    <x v="0"/>
    <x v="0"/>
    <x v="0"/>
    <x v="646"/>
    <x v="641"/>
    <x v="6"/>
  </r>
  <r>
    <x v="188"/>
    <x v="5"/>
    <x v="5"/>
    <x v="6"/>
    <x v="5"/>
    <x v="6"/>
    <x v="6"/>
    <x v="0"/>
    <x v="0"/>
    <x v="0"/>
    <x v="0"/>
    <x v="0"/>
    <x v="0"/>
    <x v="647"/>
    <x v="642"/>
    <x v="6"/>
  </r>
  <r>
    <x v="189"/>
    <x v="5"/>
    <x v="5"/>
    <x v="13"/>
    <x v="5"/>
    <x v="6"/>
    <x v="6"/>
    <x v="0"/>
    <x v="0"/>
    <x v="0"/>
    <x v="0"/>
    <x v="0"/>
    <x v="0"/>
    <x v="648"/>
    <x v="643"/>
    <x v="6"/>
  </r>
  <r>
    <x v="190"/>
    <x v="21"/>
    <x v="23"/>
    <x v="10"/>
    <x v="312"/>
    <x v="2"/>
    <x v="327"/>
    <x v="2"/>
    <x v="28"/>
    <x v="0"/>
    <x v="34"/>
    <x v="0"/>
    <x v="0"/>
    <x v="649"/>
    <x v="644"/>
    <x v="64"/>
  </r>
  <r>
    <x v="191"/>
    <x v="12"/>
    <x v="12"/>
    <x v="1"/>
    <x v="313"/>
    <x v="7"/>
    <x v="328"/>
    <x v="196"/>
    <x v="228"/>
    <x v="0"/>
    <x v="50"/>
    <x v="0"/>
    <x v="0"/>
    <x v="650"/>
    <x v="645"/>
    <x v="10"/>
  </r>
  <r>
    <x v="191"/>
    <x v="5"/>
    <x v="5"/>
    <x v="2"/>
    <x v="5"/>
    <x v="6"/>
    <x v="6"/>
    <x v="0"/>
    <x v="0"/>
    <x v="0"/>
    <x v="0"/>
    <x v="0"/>
    <x v="0"/>
    <x v="651"/>
    <x v="644"/>
    <x v="6"/>
  </r>
  <r>
    <x v="192"/>
    <x v="12"/>
    <x v="12"/>
    <x v="4"/>
    <x v="314"/>
    <x v="7"/>
    <x v="329"/>
    <x v="2"/>
    <x v="229"/>
    <x v="142"/>
    <x v="48"/>
    <x v="0"/>
    <x v="0"/>
    <x v="652"/>
    <x v="646"/>
    <x v="6"/>
  </r>
  <r>
    <x v="192"/>
    <x v="5"/>
    <x v="5"/>
    <x v="5"/>
    <x v="5"/>
    <x v="6"/>
    <x v="6"/>
    <x v="0"/>
    <x v="0"/>
    <x v="0"/>
    <x v="0"/>
    <x v="0"/>
    <x v="0"/>
    <x v="650"/>
    <x v="647"/>
    <x v="6"/>
  </r>
  <r>
    <x v="192"/>
    <x v="5"/>
    <x v="5"/>
    <x v="6"/>
    <x v="5"/>
    <x v="6"/>
    <x v="6"/>
    <x v="0"/>
    <x v="0"/>
    <x v="0"/>
    <x v="0"/>
    <x v="0"/>
    <x v="0"/>
    <x v="653"/>
    <x v="648"/>
    <x v="6"/>
  </r>
  <r>
    <x v="193"/>
    <x v="5"/>
    <x v="5"/>
    <x v="5"/>
    <x v="5"/>
    <x v="6"/>
    <x v="6"/>
    <x v="0"/>
    <x v="0"/>
    <x v="0"/>
    <x v="0"/>
    <x v="0"/>
    <x v="0"/>
    <x v="654"/>
    <x v="649"/>
    <x v="6"/>
  </r>
  <r>
    <x v="193"/>
    <x v="5"/>
    <x v="5"/>
    <x v="5"/>
    <x v="5"/>
    <x v="6"/>
    <x v="6"/>
    <x v="0"/>
    <x v="0"/>
    <x v="0"/>
    <x v="0"/>
    <x v="0"/>
    <x v="0"/>
    <x v="655"/>
    <x v="0"/>
    <x v="6"/>
  </r>
  <r>
    <x v="193"/>
    <x v="5"/>
    <x v="5"/>
    <x v="6"/>
    <x v="5"/>
    <x v="6"/>
    <x v="6"/>
    <x v="0"/>
    <x v="0"/>
    <x v="0"/>
    <x v="0"/>
    <x v="0"/>
    <x v="0"/>
    <x v="656"/>
    <x v="650"/>
    <x v="6"/>
  </r>
  <r>
    <x v="194"/>
    <x v="21"/>
    <x v="23"/>
    <x v="14"/>
    <x v="5"/>
    <x v="37"/>
    <x v="330"/>
    <x v="0"/>
    <x v="0"/>
    <x v="0"/>
    <x v="0"/>
    <x v="0"/>
    <x v="0"/>
    <x v="657"/>
    <x v="651"/>
    <x v="6"/>
  </r>
  <r>
    <x v="195"/>
    <x v="5"/>
    <x v="5"/>
    <x v="5"/>
    <x v="5"/>
    <x v="6"/>
    <x v="6"/>
    <x v="0"/>
    <x v="0"/>
    <x v="0"/>
    <x v="0"/>
    <x v="0"/>
    <x v="0"/>
    <x v="658"/>
    <x v="0"/>
    <x v="6"/>
  </r>
  <r>
    <x v="195"/>
    <x v="5"/>
    <x v="5"/>
    <x v="6"/>
    <x v="5"/>
    <x v="6"/>
    <x v="6"/>
    <x v="0"/>
    <x v="0"/>
    <x v="0"/>
    <x v="0"/>
    <x v="0"/>
    <x v="0"/>
    <x v="175"/>
    <x v="652"/>
    <x v="6"/>
  </r>
  <r>
    <x v="196"/>
    <x v="6"/>
    <x v="6"/>
    <x v="4"/>
    <x v="315"/>
    <x v="5"/>
    <x v="331"/>
    <x v="2"/>
    <x v="52"/>
    <x v="143"/>
    <x v="40"/>
    <x v="0"/>
    <x v="0"/>
    <x v="659"/>
    <x v="653"/>
    <x v="5"/>
  </r>
  <r>
    <x v="197"/>
    <x v="6"/>
    <x v="6"/>
    <x v="16"/>
    <x v="5"/>
    <x v="6"/>
    <x v="6"/>
    <x v="0"/>
    <x v="0"/>
    <x v="0"/>
    <x v="0"/>
    <x v="0"/>
    <x v="0"/>
    <x v="660"/>
    <x v="654"/>
    <x v="6"/>
  </r>
  <r>
    <x v="198"/>
    <x v="19"/>
    <x v="21"/>
    <x v="1"/>
    <x v="316"/>
    <x v="8"/>
    <x v="332"/>
    <x v="197"/>
    <x v="230"/>
    <x v="0"/>
    <x v="42"/>
    <x v="0"/>
    <x v="0"/>
    <x v="661"/>
    <x v="655"/>
    <x v="8"/>
  </r>
  <r>
    <x v="198"/>
    <x v="5"/>
    <x v="5"/>
    <x v="2"/>
    <x v="5"/>
    <x v="6"/>
    <x v="6"/>
    <x v="0"/>
    <x v="0"/>
    <x v="0"/>
    <x v="0"/>
    <x v="0"/>
    <x v="0"/>
    <x v="662"/>
    <x v="654"/>
    <x v="6"/>
  </r>
  <r>
    <x v="199"/>
    <x v="19"/>
    <x v="21"/>
    <x v="1"/>
    <x v="317"/>
    <x v="8"/>
    <x v="333"/>
    <x v="198"/>
    <x v="231"/>
    <x v="0"/>
    <x v="42"/>
    <x v="0"/>
    <x v="0"/>
    <x v="663"/>
    <x v="656"/>
    <x v="14"/>
  </r>
  <r>
    <x v="199"/>
    <x v="19"/>
    <x v="21"/>
    <x v="1"/>
    <x v="318"/>
    <x v="8"/>
    <x v="334"/>
    <x v="199"/>
    <x v="232"/>
    <x v="0"/>
    <x v="42"/>
    <x v="0"/>
    <x v="0"/>
    <x v="664"/>
    <x v="657"/>
    <x v="51"/>
  </r>
  <r>
    <x v="199"/>
    <x v="5"/>
    <x v="5"/>
    <x v="2"/>
    <x v="5"/>
    <x v="6"/>
    <x v="6"/>
    <x v="0"/>
    <x v="0"/>
    <x v="0"/>
    <x v="0"/>
    <x v="0"/>
    <x v="0"/>
    <x v="665"/>
    <x v="658"/>
    <x v="6"/>
  </r>
  <r>
    <x v="199"/>
    <x v="5"/>
    <x v="5"/>
    <x v="2"/>
    <x v="5"/>
    <x v="6"/>
    <x v="6"/>
    <x v="0"/>
    <x v="0"/>
    <x v="0"/>
    <x v="0"/>
    <x v="0"/>
    <x v="0"/>
    <x v="666"/>
    <x v="654"/>
    <x v="6"/>
  </r>
  <r>
    <x v="200"/>
    <x v="17"/>
    <x v="19"/>
    <x v="10"/>
    <x v="319"/>
    <x v="8"/>
    <x v="335"/>
    <x v="2"/>
    <x v="191"/>
    <x v="0"/>
    <x v="0"/>
    <x v="0"/>
    <x v="0"/>
    <x v="667"/>
    <x v="659"/>
    <x v="8"/>
  </r>
  <r>
    <x v="201"/>
    <x v="17"/>
    <x v="19"/>
    <x v="4"/>
    <x v="206"/>
    <x v="8"/>
    <x v="336"/>
    <x v="2"/>
    <x v="191"/>
    <x v="0"/>
    <x v="0"/>
    <x v="0"/>
    <x v="0"/>
    <x v="668"/>
    <x v="660"/>
    <x v="6"/>
  </r>
  <r>
    <x v="201"/>
    <x v="19"/>
    <x v="21"/>
    <x v="10"/>
    <x v="320"/>
    <x v="38"/>
    <x v="337"/>
    <x v="2"/>
    <x v="2"/>
    <x v="0"/>
    <x v="40"/>
    <x v="0"/>
    <x v="0"/>
    <x v="669"/>
    <x v="661"/>
    <x v="65"/>
  </r>
  <r>
    <x v="202"/>
    <x v="5"/>
    <x v="5"/>
    <x v="3"/>
    <x v="5"/>
    <x v="6"/>
    <x v="6"/>
    <x v="0"/>
    <x v="0"/>
    <x v="0"/>
    <x v="0"/>
    <x v="0"/>
    <x v="0"/>
    <x v="670"/>
    <x v="662"/>
    <x v="6"/>
  </r>
  <r>
    <x v="202"/>
    <x v="5"/>
    <x v="5"/>
    <x v="3"/>
    <x v="5"/>
    <x v="6"/>
    <x v="6"/>
    <x v="0"/>
    <x v="0"/>
    <x v="0"/>
    <x v="0"/>
    <x v="0"/>
    <x v="0"/>
    <x v="671"/>
    <x v="663"/>
    <x v="6"/>
  </r>
  <r>
    <x v="202"/>
    <x v="23"/>
    <x v="5"/>
    <x v="17"/>
    <x v="321"/>
    <x v="5"/>
    <x v="338"/>
    <x v="0"/>
    <x v="0"/>
    <x v="0"/>
    <x v="0"/>
    <x v="0"/>
    <x v="0"/>
    <x v="672"/>
    <x v="664"/>
    <x v="6"/>
  </r>
  <r>
    <x v="203"/>
    <x v="23"/>
    <x v="25"/>
    <x v="18"/>
    <x v="5"/>
    <x v="5"/>
    <x v="6"/>
    <x v="0"/>
    <x v="0"/>
    <x v="0"/>
    <x v="0"/>
    <x v="0"/>
    <x v="0"/>
    <x v="0"/>
    <x v="664"/>
    <x v="5"/>
  </r>
  <r>
    <x v="203"/>
    <x v="20"/>
    <x v="22"/>
    <x v="4"/>
    <x v="322"/>
    <x v="8"/>
    <x v="339"/>
    <x v="2"/>
    <x v="233"/>
    <x v="144"/>
    <x v="0"/>
    <x v="0"/>
    <x v="0"/>
    <x v="673"/>
    <x v="665"/>
    <x v="24"/>
  </r>
  <r>
    <x v="204"/>
    <x v="20"/>
    <x v="22"/>
    <x v="16"/>
    <x v="5"/>
    <x v="6"/>
    <x v="6"/>
    <x v="0"/>
    <x v="0"/>
    <x v="0"/>
    <x v="0"/>
    <x v="0"/>
    <x v="0"/>
    <x v="616"/>
    <x v="666"/>
    <x v="6"/>
  </r>
  <r>
    <x v="205"/>
    <x v="5"/>
    <x v="5"/>
    <x v="3"/>
    <x v="5"/>
    <x v="6"/>
    <x v="6"/>
    <x v="0"/>
    <x v="0"/>
    <x v="0"/>
    <x v="0"/>
    <x v="0"/>
    <x v="0"/>
    <x v="674"/>
    <x v="667"/>
    <x v="6"/>
  </r>
  <r>
    <x v="206"/>
    <x v="21"/>
    <x v="23"/>
    <x v="10"/>
    <x v="323"/>
    <x v="39"/>
    <x v="340"/>
    <x v="99"/>
    <x v="234"/>
    <x v="0"/>
    <x v="52"/>
    <x v="0"/>
    <x v="0"/>
    <x v="675"/>
    <x v="668"/>
    <x v="66"/>
  </r>
  <r>
    <x v="207"/>
    <x v="21"/>
    <x v="23"/>
    <x v="4"/>
    <x v="324"/>
    <x v="2"/>
    <x v="341"/>
    <x v="2"/>
    <x v="235"/>
    <x v="145"/>
    <x v="7"/>
    <x v="0"/>
    <x v="0"/>
    <x v="676"/>
    <x v="669"/>
    <x v="67"/>
  </r>
  <r>
    <x v="207"/>
    <x v="5"/>
    <x v="5"/>
    <x v="5"/>
    <x v="5"/>
    <x v="6"/>
    <x v="6"/>
    <x v="0"/>
    <x v="0"/>
    <x v="0"/>
    <x v="0"/>
    <x v="0"/>
    <x v="0"/>
    <x v="677"/>
    <x v="670"/>
    <x v="6"/>
  </r>
  <r>
    <x v="207"/>
    <x v="5"/>
    <x v="5"/>
    <x v="5"/>
    <x v="5"/>
    <x v="6"/>
    <x v="6"/>
    <x v="0"/>
    <x v="0"/>
    <x v="0"/>
    <x v="0"/>
    <x v="0"/>
    <x v="0"/>
    <x v="617"/>
    <x v="671"/>
    <x v="6"/>
  </r>
  <r>
    <x v="207"/>
    <x v="5"/>
    <x v="5"/>
    <x v="6"/>
    <x v="5"/>
    <x v="6"/>
    <x v="6"/>
    <x v="0"/>
    <x v="0"/>
    <x v="0"/>
    <x v="0"/>
    <x v="0"/>
    <x v="0"/>
    <x v="678"/>
    <x v="672"/>
    <x v="6"/>
  </r>
  <r>
    <x v="207"/>
    <x v="5"/>
    <x v="5"/>
    <x v="6"/>
    <x v="5"/>
    <x v="6"/>
    <x v="6"/>
    <x v="0"/>
    <x v="0"/>
    <x v="0"/>
    <x v="0"/>
    <x v="0"/>
    <x v="0"/>
    <x v="679"/>
    <x v="673"/>
    <x v="6"/>
  </r>
  <r>
    <x v="208"/>
    <x v="21"/>
    <x v="23"/>
    <x v="16"/>
    <x v="5"/>
    <x v="6"/>
    <x v="6"/>
    <x v="0"/>
    <x v="0"/>
    <x v="0"/>
    <x v="0"/>
    <x v="0"/>
    <x v="0"/>
    <x v="680"/>
    <x v="674"/>
    <x v="6"/>
  </r>
  <r>
    <x v="209"/>
    <x v="5"/>
    <x v="5"/>
    <x v="12"/>
    <x v="5"/>
    <x v="6"/>
    <x v="6"/>
    <x v="0"/>
    <x v="0"/>
    <x v="0"/>
    <x v="0"/>
    <x v="0"/>
    <x v="0"/>
    <x v="681"/>
    <x v="675"/>
    <x v="6"/>
  </r>
  <r>
    <x v="210"/>
    <x v="5"/>
    <x v="5"/>
    <x v="5"/>
    <x v="5"/>
    <x v="6"/>
    <x v="6"/>
    <x v="0"/>
    <x v="0"/>
    <x v="0"/>
    <x v="0"/>
    <x v="0"/>
    <x v="0"/>
    <x v="682"/>
    <x v="0"/>
    <x v="6"/>
  </r>
  <r>
    <x v="210"/>
    <x v="5"/>
    <x v="5"/>
    <x v="6"/>
    <x v="5"/>
    <x v="6"/>
    <x v="6"/>
    <x v="0"/>
    <x v="0"/>
    <x v="0"/>
    <x v="0"/>
    <x v="0"/>
    <x v="0"/>
    <x v="683"/>
    <x v="676"/>
    <x v="6"/>
  </r>
  <r>
    <x v="211"/>
    <x v="23"/>
    <x v="25"/>
    <x v="4"/>
    <x v="325"/>
    <x v="5"/>
    <x v="342"/>
    <x v="200"/>
    <x v="143"/>
    <x v="146"/>
    <x v="0"/>
    <x v="0"/>
    <x v="0"/>
    <x v="684"/>
    <x v="677"/>
    <x v="6"/>
  </r>
  <r>
    <x v="211"/>
    <x v="5"/>
    <x v="5"/>
    <x v="5"/>
    <x v="5"/>
    <x v="6"/>
    <x v="6"/>
    <x v="0"/>
    <x v="0"/>
    <x v="0"/>
    <x v="0"/>
    <x v="0"/>
    <x v="0"/>
    <x v="685"/>
    <x v="678"/>
    <x v="6"/>
  </r>
  <r>
    <x v="211"/>
    <x v="5"/>
    <x v="5"/>
    <x v="6"/>
    <x v="5"/>
    <x v="6"/>
    <x v="6"/>
    <x v="0"/>
    <x v="0"/>
    <x v="0"/>
    <x v="0"/>
    <x v="0"/>
    <x v="0"/>
    <x v="686"/>
    <x v="679"/>
    <x v="6"/>
  </r>
  <r>
    <x v="211"/>
    <x v="5"/>
    <x v="5"/>
    <x v="5"/>
    <x v="5"/>
    <x v="6"/>
    <x v="6"/>
    <x v="0"/>
    <x v="0"/>
    <x v="0"/>
    <x v="0"/>
    <x v="0"/>
    <x v="0"/>
    <x v="664"/>
    <x v="680"/>
    <x v="6"/>
  </r>
  <r>
    <x v="211"/>
    <x v="5"/>
    <x v="5"/>
    <x v="6"/>
    <x v="5"/>
    <x v="6"/>
    <x v="6"/>
    <x v="0"/>
    <x v="0"/>
    <x v="0"/>
    <x v="0"/>
    <x v="0"/>
    <x v="0"/>
    <x v="687"/>
    <x v="681"/>
    <x v="6"/>
  </r>
  <r>
    <x v="211"/>
    <x v="5"/>
    <x v="5"/>
    <x v="5"/>
    <x v="5"/>
    <x v="6"/>
    <x v="6"/>
    <x v="0"/>
    <x v="0"/>
    <x v="0"/>
    <x v="0"/>
    <x v="0"/>
    <x v="0"/>
    <x v="663"/>
    <x v="682"/>
    <x v="6"/>
  </r>
  <r>
    <x v="211"/>
    <x v="5"/>
    <x v="5"/>
    <x v="6"/>
    <x v="5"/>
    <x v="6"/>
    <x v="6"/>
    <x v="0"/>
    <x v="0"/>
    <x v="0"/>
    <x v="0"/>
    <x v="0"/>
    <x v="0"/>
    <x v="688"/>
    <x v="683"/>
    <x v="6"/>
  </r>
  <r>
    <x v="212"/>
    <x v="21"/>
    <x v="23"/>
    <x v="10"/>
    <x v="326"/>
    <x v="2"/>
    <x v="343"/>
    <x v="2"/>
    <x v="198"/>
    <x v="0"/>
    <x v="42"/>
    <x v="0"/>
    <x v="0"/>
    <x v="689"/>
    <x v="684"/>
    <x v="66"/>
  </r>
  <r>
    <x v="213"/>
    <x v="5"/>
    <x v="5"/>
    <x v="3"/>
    <x v="5"/>
    <x v="6"/>
    <x v="6"/>
    <x v="0"/>
    <x v="0"/>
    <x v="0"/>
    <x v="0"/>
    <x v="0"/>
    <x v="0"/>
    <x v="690"/>
    <x v="685"/>
    <x v="6"/>
  </r>
  <r>
    <x v="213"/>
    <x v="21"/>
    <x v="23"/>
    <x v="1"/>
    <x v="308"/>
    <x v="2"/>
    <x v="321"/>
    <x v="201"/>
    <x v="236"/>
    <x v="0"/>
    <x v="42"/>
    <x v="0"/>
    <x v="0"/>
    <x v="691"/>
    <x v="686"/>
    <x v="68"/>
  </r>
  <r>
    <x v="213"/>
    <x v="5"/>
    <x v="5"/>
    <x v="2"/>
    <x v="5"/>
    <x v="6"/>
    <x v="6"/>
    <x v="0"/>
    <x v="0"/>
    <x v="0"/>
    <x v="0"/>
    <x v="0"/>
    <x v="0"/>
    <x v="692"/>
    <x v="685"/>
    <x v="6"/>
  </r>
  <r>
    <x v="213"/>
    <x v="5"/>
    <x v="5"/>
    <x v="5"/>
    <x v="5"/>
    <x v="6"/>
    <x v="6"/>
    <x v="0"/>
    <x v="0"/>
    <x v="0"/>
    <x v="0"/>
    <x v="0"/>
    <x v="0"/>
    <x v="691"/>
    <x v="686"/>
    <x v="6"/>
  </r>
  <r>
    <x v="214"/>
    <x v="5"/>
    <x v="5"/>
    <x v="13"/>
    <x v="5"/>
    <x v="6"/>
    <x v="6"/>
    <x v="0"/>
    <x v="0"/>
    <x v="0"/>
    <x v="0"/>
    <x v="0"/>
    <x v="0"/>
    <x v="693"/>
    <x v="687"/>
    <x v="6"/>
  </r>
  <r>
    <x v="215"/>
    <x v="5"/>
    <x v="5"/>
    <x v="3"/>
    <x v="5"/>
    <x v="6"/>
    <x v="6"/>
    <x v="0"/>
    <x v="0"/>
    <x v="0"/>
    <x v="0"/>
    <x v="0"/>
    <x v="0"/>
    <x v="490"/>
    <x v="688"/>
    <x v="6"/>
  </r>
  <r>
    <x v="215"/>
    <x v="5"/>
    <x v="5"/>
    <x v="12"/>
    <x v="5"/>
    <x v="6"/>
    <x v="6"/>
    <x v="0"/>
    <x v="0"/>
    <x v="0"/>
    <x v="0"/>
    <x v="0"/>
    <x v="0"/>
    <x v="694"/>
    <x v="687"/>
    <x v="6"/>
  </r>
  <r>
    <x v="216"/>
    <x v="21"/>
    <x v="23"/>
    <x v="4"/>
    <x v="327"/>
    <x v="11"/>
    <x v="344"/>
    <x v="202"/>
    <x v="237"/>
    <x v="147"/>
    <x v="5"/>
    <x v="0"/>
    <x v="0"/>
    <x v="695"/>
    <x v="689"/>
    <x v="67"/>
  </r>
  <r>
    <x v="216"/>
    <x v="19"/>
    <x v="21"/>
    <x v="10"/>
    <x v="328"/>
    <x v="40"/>
    <x v="345"/>
    <x v="203"/>
    <x v="238"/>
    <x v="0"/>
    <x v="5"/>
    <x v="0"/>
    <x v="0"/>
    <x v="696"/>
    <x v="690"/>
    <x v="69"/>
  </r>
  <r>
    <x v="217"/>
    <x v="21"/>
    <x v="23"/>
    <x v="16"/>
    <x v="5"/>
    <x v="6"/>
    <x v="6"/>
    <x v="0"/>
    <x v="0"/>
    <x v="0"/>
    <x v="0"/>
    <x v="0"/>
    <x v="0"/>
    <x v="697"/>
    <x v="691"/>
    <x v="6"/>
  </r>
  <r>
    <x v="218"/>
    <x v="19"/>
    <x v="21"/>
    <x v="4"/>
    <x v="329"/>
    <x v="40"/>
    <x v="346"/>
    <x v="204"/>
    <x v="239"/>
    <x v="148"/>
    <x v="5"/>
    <x v="0"/>
    <x v="0"/>
    <x v="698"/>
    <x v="692"/>
    <x v="65"/>
  </r>
  <r>
    <x v="219"/>
    <x v="20"/>
    <x v="26"/>
    <x v="10"/>
    <x v="330"/>
    <x v="8"/>
    <x v="347"/>
    <x v="2"/>
    <x v="233"/>
    <x v="0"/>
    <x v="0"/>
    <x v="0"/>
    <x v="0"/>
    <x v="699"/>
    <x v="693"/>
    <x v="50"/>
  </r>
  <r>
    <x v="219"/>
    <x v="19"/>
    <x v="21"/>
    <x v="10"/>
    <x v="331"/>
    <x v="41"/>
    <x v="348"/>
    <x v="2"/>
    <x v="240"/>
    <x v="0"/>
    <x v="53"/>
    <x v="0"/>
    <x v="0"/>
    <x v="700"/>
    <x v="694"/>
    <x v="70"/>
  </r>
  <r>
    <x v="220"/>
    <x v="20"/>
    <x v="26"/>
    <x v="4"/>
    <x v="332"/>
    <x v="8"/>
    <x v="349"/>
    <x v="2"/>
    <x v="240"/>
    <x v="149"/>
    <x v="0"/>
    <x v="0"/>
    <x v="0"/>
    <x v="701"/>
    <x v="695"/>
    <x v="24"/>
  </r>
  <r>
    <x v="221"/>
    <x v="20"/>
    <x v="26"/>
    <x v="16"/>
    <x v="5"/>
    <x v="6"/>
    <x v="6"/>
    <x v="0"/>
    <x v="0"/>
    <x v="0"/>
    <x v="0"/>
    <x v="0"/>
    <x v="0"/>
    <x v="616"/>
    <x v="696"/>
    <x v="6"/>
  </r>
  <r>
    <x v="221"/>
    <x v="6"/>
    <x v="6"/>
    <x v="1"/>
    <x v="222"/>
    <x v="7"/>
    <x v="230"/>
    <x v="205"/>
    <x v="241"/>
    <x v="0"/>
    <x v="39"/>
    <x v="0"/>
    <x v="0"/>
    <x v="702"/>
    <x v="697"/>
    <x v="0"/>
  </r>
  <r>
    <x v="221"/>
    <x v="5"/>
    <x v="5"/>
    <x v="2"/>
    <x v="5"/>
    <x v="6"/>
    <x v="6"/>
    <x v="0"/>
    <x v="0"/>
    <x v="0"/>
    <x v="0"/>
    <x v="0"/>
    <x v="0"/>
    <x v="703"/>
    <x v="696"/>
    <x v="6"/>
  </r>
  <r>
    <x v="222"/>
    <x v="5"/>
    <x v="5"/>
    <x v="12"/>
    <x v="5"/>
    <x v="6"/>
    <x v="6"/>
    <x v="0"/>
    <x v="0"/>
    <x v="0"/>
    <x v="0"/>
    <x v="0"/>
    <x v="0"/>
    <x v="228"/>
    <x v="698"/>
    <x v="6"/>
  </r>
  <r>
    <x v="222"/>
    <x v="6"/>
    <x v="6"/>
    <x v="4"/>
    <x v="333"/>
    <x v="7"/>
    <x v="350"/>
    <x v="62"/>
    <x v="242"/>
    <x v="150"/>
    <x v="49"/>
    <x v="0"/>
    <x v="0"/>
    <x v="704"/>
    <x v="699"/>
    <x v="5"/>
  </r>
  <r>
    <x v="222"/>
    <x v="5"/>
    <x v="5"/>
    <x v="5"/>
    <x v="5"/>
    <x v="6"/>
    <x v="6"/>
    <x v="0"/>
    <x v="0"/>
    <x v="0"/>
    <x v="0"/>
    <x v="0"/>
    <x v="0"/>
    <x v="702"/>
    <x v="700"/>
    <x v="6"/>
  </r>
  <r>
    <x v="222"/>
    <x v="5"/>
    <x v="5"/>
    <x v="6"/>
    <x v="5"/>
    <x v="6"/>
    <x v="6"/>
    <x v="0"/>
    <x v="0"/>
    <x v="0"/>
    <x v="0"/>
    <x v="0"/>
    <x v="0"/>
    <x v="705"/>
    <x v="701"/>
    <x v="6"/>
  </r>
  <r>
    <x v="223"/>
    <x v="6"/>
    <x v="6"/>
    <x v="16"/>
    <x v="5"/>
    <x v="6"/>
    <x v="6"/>
    <x v="0"/>
    <x v="0"/>
    <x v="0"/>
    <x v="0"/>
    <x v="0"/>
    <x v="0"/>
    <x v="660"/>
    <x v="702"/>
    <x v="6"/>
  </r>
  <r>
    <x v="224"/>
    <x v="5"/>
    <x v="5"/>
    <x v="12"/>
    <x v="5"/>
    <x v="6"/>
    <x v="6"/>
    <x v="0"/>
    <x v="0"/>
    <x v="0"/>
    <x v="0"/>
    <x v="0"/>
    <x v="0"/>
    <x v="706"/>
    <x v="0"/>
    <x v="6"/>
  </r>
  <r>
    <x v="225"/>
    <x v="6"/>
    <x v="6"/>
    <x v="1"/>
    <x v="334"/>
    <x v="0"/>
    <x v="351"/>
    <x v="206"/>
    <x v="243"/>
    <x v="0"/>
    <x v="54"/>
    <x v="0"/>
    <x v="0"/>
    <x v="707"/>
    <x v="703"/>
    <x v="2"/>
  </r>
  <r>
    <x v="225"/>
    <x v="6"/>
    <x v="6"/>
    <x v="4"/>
    <x v="158"/>
    <x v="5"/>
    <x v="60"/>
    <x v="2"/>
    <x v="64"/>
    <x v="151"/>
    <x v="21"/>
    <x v="0"/>
    <x v="0"/>
    <x v="708"/>
    <x v="704"/>
    <x v="0"/>
  </r>
  <r>
    <x v="225"/>
    <x v="5"/>
    <x v="5"/>
    <x v="2"/>
    <x v="5"/>
    <x v="6"/>
    <x v="6"/>
    <x v="0"/>
    <x v="0"/>
    <x v="0"/>
    <x v="0"/>
    <x v="0"/>
    <x v="0"/>
    <x v="709"/>
    <x v="705"/>
    <x v="6"/>
  </r>
  <r>
    <x v="225"/>
    <x v="5"/>
    <x v="5"/>
    <x v="5"/>
    <x v="5"/>
    <x v="6"/>
    <x v="6"/>
    <x v="0"/>
    <x v="0"/>
    <x v="0"/>
    <x v="0"/>
    <x v="0"/>
    <x v="0"/>
    <x v="710"/>
    <x v="706"/>
    <x v="6"/>
  </r>
  <r>
    <x v="226"/>
    <x v="19"/>
    <x v="21"/>
    <x v="4"/>
    <x v="335"/>
    <x v="42"/>
    <x v="352"/>
    <x v="207"/>
    <x v="189"/>
    <x v="152"/>
    <x v="38"/>
    <x v="0"/>
    <x v="0"/>
    <x v="711"/>
    <x v="707"/>
    <x v="71"/>
  </r>
  <r>
    <x v="226"/>
    <x v="6"/>
    <x v="6"/>
    <x v="4"/>
    <x v="336"/>
    <x v="7"/>
    <x v="353"/>
    <x v="208"/>
    <x v="244"/>
    <x v="153"/>
    <x v="29"/>
    <x v="0"/>
    <x v="0"/>
    <x v="712"/>
    <x v="708"/>
    <x v="5"/>
  </r>
  <r>
    <x v="226"/>
    <x v="5"/>
    <x v="5"/>
    <x v="6"/>
    <x v="5"/>
    <x v="6"/>
    <x v="6"/>
    <x v="0"/>
    <x v="0"/>
    <x v="0"/>
    <x v="0"/>
    <x v="0"/>
    <x v="0"/>
    <x v="713"/>
    <x v="709"/>
    <x v="6"/>
  </r>
  <r>
    <x v="226"/>
    <x v="5"/>
    <x v="5"/>
    <x v="5"/>
    <x v="5"/>
    <x v="6"/>
    <x v="6"/>
    <x v="0"/>
    <x v="0"/>
    <x v="0"/>
    <x v="0"/>
    <x v="0"/>
    <x v="0"/>
    <x v="714"/>
    <x v="710"/>
    <x v="6"/>
  </r>
  <r>
    <x v="227"/>
    <x v="24"/>
    <x v="27"/>
    <x v="1"/>
    <x v="337"/>
    <x v="22"/>
    <x v="354"/>
    <x v="209"/>
    <x v="245"/>
    <x v="0"/>
    <x v="55"/>
    <x v="0"/>
    <x v="0"/>
    <x v="715"/>
    <x v="711"/>
    <x v="50"/>
  </r>
  <r>
    <x v="227"/>
    <x v="5"/>
    <x v="5"/>
    <x v="2"/>
    <x v="5"/>
    <x v="6"/>
    <x v="6"/>
    <x v="0"/>
    <x v="0"/>
    <x v="0"/>
    <x v="0"/>
    <x v="0"/>
    <x v="0"/>
    <x v="716"/>
    <x v="710"/>
    <x v="6"/>
  </r>
  <r>
    <x v="228"/>
    <x v="17"/>
    <x v="19"/>
    <x v="10"/>
    <x v="338"/>
    <x v="43"/>
    <x v="355"/>
    <x v="47"/>
    <x v="246"/>
    <x v="0"/>
    <x v="0"/>
    <x v="0"/>
    <x v="0"/>
    <x v="717"/>
    <x v="712"/>
    <x v="72"/>
  </r>
  <r>
    <x v="229"/>
    <x v="17"/>
    <x v="19"/>
    <x v="4"/>
    <x v="339"/>
    <x v="43"/>
    <x v="356"/>
    <x v="210"/>
    <x v="247"/>
    <x v="0"/>
    <x v="0"/>
    <x v="0"/>
    <x v="0"/>
    <x v="718"/>
    <x v="713"/>
    <x v="6"/>
  </r>
  <r>
    <x v="230"/>
    <x v="10"/>
    <x v="10"/>
    <x v="10"/>
    <x v="340"/>
    <x v="13"/>
    <x v="357"/>
    <x v="0"/>
    <x v="0"/>
    <x v="0"/>
    <x v="0"/>
    <x v="0"/>
    <x v="0"/>
    <x v="719"/>
    <x v="714"/>
    <x v="17"/>
  </r>
  <r>
    <x v="231"/>
    <x v="19"/>
    <x v="21"/>
    <x v="4"/>
    <x v="341"/>
    <x v="44"/>
    <x v="358"/>
    <x v="211"/>
    <x v="248"/>
    <x v="154"/>
    <x v="56"/>
    <x v="0"/>
    <x v="0"/>
    <x v="720"/>
    <x v="715"/>
    <x v="6"/>
  </r>
  <r>
    <x v="231"/>
    <x v="5"/>
    <x v="5"/>
    <x v="5"/>
    <x v="5"/>
    <x v="6"/>
    <x v="6"/>
    <x v="0"/>
    <x v="0"/>
    <x v="0"/>
    <x v="0"/>
    <x v="0"/>
    <x v="0"/>
    <x v="715"/>
    <x v="716"/>
    <x v="6"/>
  </r>
  <r>
    <x v="231"/>
    <x v="5"/>
    <x v="5"/>
    <x v="6"/>
    <x v="5"/>
    <x v="6"/>
    <x v="6"/>
    <x v="0"/>
    <x v="0"/>
    <x v="0"/>
    <x v="0"/>
    <x v="0"/>
    <x v="0"/>
    <x v="721"/>
    <x v="717"/>
    <x v="6"/>
  </r>
  <r>
    <x v="232"/>
    <x v="5"/>
    <x v="5"/>
    <x v="13"/>
    <x v="5"/>
    <x v="6"/>
    <x v="6"/>
    <x v="0"/>
    <x v="0"/>
    <x v="0"/>
    <x v="0"/>
    <x v="0"/>
    <x v="0"/>
    <x v="722"/>
    <x v="718"/>
    <x v="6"/>
  </r>
  <r>
    <x v="233"/>
    <x v="5"/>
    <x v="5"/>
    <x v="12"/>
    <x v="5"/>
    <x v="6"/>
    <x v="6"/>
    <x v="0"/>
    <x v="0"/>
    <x v="0"/>
    <x v="0"/>
    <x v="0"/>
    <x v="0"/>
    <x v="723"/>
    <x v="719"/>
    <x v="6"/>
  </r>
  <r>
    <x v="234"/>
    <x v="5"/>
    <x v="5"/>
    <x v="3"/>
    <x v="5"/>
    <x v="6"/>
    <x v="6"/>
    <x v="0"/>
    <x v="0"/>
    <x v="0"/>
    <x v="0"/>
    <x v="0"/>
    <x v="0"/>
    <x v="724"/>
    <x v="720"/>
    <x v="6"/>
  </r>
  <r>
    <x v="235"/>
    <x v="10"/>
    <x v="10"/>
    <x v="4"/>
    <x v="342"/>
    <x v="13"/>
    <x v="359"/>
    <x v="0"/>
    <x v="0"/>
    <x v="0"/>
    <x v="0"/>
    <x v="0"/>
    <x v="0"/>
    <x v="725"/>
    <x v="721"/>
    <x v="6"/>
  </r>
  <r>
    <x v="236"/>
    <x v="10"/>
    <x v="10"/>
    <x v="11"/>
    <x v="5"/>
    <x v="6"/>
    <x v="360"/>
    <x v="0"/>
    <x v="0"/>
    <x v="0"/>
    <x v="0"/>
    <x v="0"/>
    <x v="0"/>
    <x v="726"/>
    <x v="722"/>
    <x v="6"/>
  </r>
  <r>
    <x v="236"/>
    <x v="20"/>
    <x v="26"/>
    <x v="10"/>
    <x v="343"/>
    <x v="8"/>
    <x v="361"/>
    <x v="2"/>
    <x v="136"/>
    <x v="0"/>
    <x v="0"/>
    <x v="0"/>
    <x v="0"/>
    <x v="727"/>
    <x v="723"/>
    <x v="50"/>
  </r>
  <r>
    <x v="237"/>
    <x v="6"/>
    <x v="6"/>
    <x v="1"/>
    <x v="144"/>
    <x v="7"/>
    <x v="304"/>
    <x v="212"/>
    <x v="249"/>
    <x v="0"/>
    <x v="31"/>
    <x v="0"/>
    <x v="0"/>
    <x v="728"/>
    <x v="724"/>
    <x v="0"/>
  </r>
  <r>
    <x v="237"/>
    <x v="5"/>
    <x v="5"/>
    <x v="2"/>
    <x v="5"/>
    <x v="6"/>
    <x v="6"/>
    <x v="0"/>
    <x v="0"/>
    <x v="0"/>
    <x v="0"/>
    <x v="0"/>
    <x v="0"/>
    <x v="729"/>
    <x v="723"/>
    <x v="6"/>
  </r>
  <r>
    <x v="238"/>
    <x v="6"/>
    <x v="6"/>
    <x v="4"/>
    <x v="300"/>
    <x v="7"/>
    <x v="312"/>
    <x v="180"/>
    <x v="175"/>
    <x v="133"/>
    <x v="31"/>
    <x v="0"/>
    <x v="0"/>
    <x v="600"/>
    <x v="725"/>
    <x v="5"/>
  </r>
  <r>
    <x v="238"/>
    <x v="5"/>
    <x v="5"/>
    <x v="5"/>
    <x v="5"/>
    <x v="6"/>
    <x v="6"/>
    <x v="0"/>
    <x v="0"/>
    <x v="0"/>
    <x v="0"/>
    <x v="0"/>
    <x v="0"/>
    <x v="730"/>
    <x v="726"/>
    <x v="6"/>
  </r>
  <r>
    <x v="238"/>
    <x v="5"/>
    <x v="5"/>
    <x v="6"/>
    <x v="5"/>
    <x v="6"/>
    <x v="6"/>
    <x v="0"/>
    <x v="0"/>
    <x v="0"/>
    <x v="0"/>
    <x v="0"/>
    <x v="0"/>
    <x v="731"/>
    <x v="727"/>
    <x v="6"/>
  </r>
  <r>
    <x v="238"/>
    <x v="5"/>
    <x v="5"/>
    <x v="5"/>
    <x v="5"/>
    <x v="6"/>
    <x v="6"/>
    <x v="0"/>
    <x v="0"/>
    <x v="0"/>
    <x v="0"/>
    <x v="0"/>
    <x v="0"/>
    <x v="732"/>
    <x v="728"/>
    <x v="6"/>
  </r>
  <r>
    <x v="239"/>
    <x v="20"/>
    <x v="26"/>
    <x v="4"/>
    <x v="344"/>
    <x v="8"/>
    <x v="362"/>
    <x v="2"/>
    <x v="181"/>
    <x v="155"/>
    <x v="0"/>
    <x v="0"/>
    <x v="0"/>
    <x v="733"/>
    <x v="729"/>
    <x v="24"/>
  </r>
  <r>
    <x v="240"/>
    <x v="20"/>
    <x v="26"/>
    <x v="16"/>
    <x v="5"/>
    <x v="6"/>
    <x v="6"/>
    <x v="0"/>
    <x v="0"/>
    <x v="0"/>
    <x v="0"/>
    <x v="0"/>
    <x v="0"/>
    <x v="734"/>
    <x v="730"/>
    <x v="6"/>
  </r>
  <r>
    <x v="241"/>
    <x v="20"/>
    <x v="26"/>
    <x v="10"/>
    <x v="345"/>
    <x v="8"/>
    <x v="67"/>
    <x v="2"/>
    <x v="136"/>
    <x v="0"/>
    <x v="0"/>
    <x v="0"/>
    <x v="0"/>
    <x v="735"/>
    <x v="731"/>
    <x v="50"/>
  </r>
  <r>
    <x v="241"/>
    <x v="24"/>
    <x v="27"/>
    <x v="4"/>
    <x v="346"/>
    <x v="18"/>
    <x v="363"/>
    <x v="213"/>
    <x v="250"/>
    <x v="156"/>
    <x v="11"/>
    <x v="0"/>
    <x v="0"/>
    <x v="736"/>
    <x v="732"/>
    <x v="12"/>
  </r>
  <r>
    <x v="242"/>
    <x v="20"/>
    <x v="26"/>
    <x v="4"/>
    <x v="347"/>
    <x v="8"/>
    <x v="364"/>
    <x v="2"/>
    <x v="181"/>
    <x v="157"/>
    <x v="0"/>
    <x v="0"/>
    <x v="0"/>
    <x v="737"/>
    <x v="733"/>
    <x v="24"/>
  </r>
  <r>
    <x v="242"/>
    <x v="24"/>
    <x v="27"/>
    <x v="4"/>
    <x v="348"/>
    <x v="18"/>
    <x v="365"/>
    <x v="214"/>
    <x v="251"/>
    <x v="158"/>
    <x v="57"/>
    <x v="0"/>
    <x v="0"/>
    <x v="738"/>
    <x v="734"/>
    <x v="6"/>
  </r>
  <r>
    <x v="243"/>
    <x v="25"/>
    <x v="28"/>
    <x v="10"/>
    <x v="349"/>
    <x v="2"/>
    <x v="366"/>
    <x v="215"/>
    <x v="252"/>
    <x v="0"/>
    <x v="0"/>
    <x v="0"/>
    <x v="0"/>
    <x v="739"/>
    <x v="735"/>
    <x v="2"/>
  </r>
  <r>
    <x v="243"/>
    <x v="20"/>
    <x v="26"/>
    <x v="10"/>
    <x v="350"/>
    <x v="8"/>
    <x v="367"/>
    <x v="2"/>
    <x v="136"/>
    <x v="0"/>
    <x v="0"/>
    <x v="0"/>
    <x v="0"/>
    <x v="740"/>
    <x v="736"/>
    <x v="50"/>
  </r>
  <r>
    <x v="244"/>
    <x v="20"/>
    <x v="26"/>
    <x v="4"/>
    <x v="351"/>
    <x v="8"/>
    <x v="237"/>
    <x v="2"/>
    <x v="253"/>
    <x v="159"/>
    <x v="0"/>
    <x v="0"/>
    <x v="0"/>
    <x v="741"/>
    <x v="737"/>
    <x v="24"/>
  </r>
  <r>
    <x v="244"/>
    <x v="25"/>
    <x v="28"/>
    <x v="4"/>
    <x v="352"/>
    <x v="2"/>
    <x v="368"/>
    <x v="216"/>
    <x v="254"/>
    <x v="160"/>
    <x v="0"/>
    <x v="0"/>
    <x v="0"/>
    <x v="742"/>
    <x v="738"/>
    <x v="6"/>
  </r>
  <r>
    <x v="244"/>
    <x v="25"/>
    <x v="28"/>
    <x v="10"/>
    <x v="353"/>
    <x v="7"/>
    <x v="367"/>
    <x v="2"/>
    <x v="136"/>
    <x v="0"/>
    <x v="0"/>
    <x v="0"/>
    <x v="0"/>
    <x v="740"/>
    <x v="739"/>
    <x v="10"/>
  </r>
  <r>
    <x v="245"/>
    <x v="20"/>
    <x v="26"/>
    <x v="10"/>
    <x v="344"/>
    <x v="8"/>
    <x v="362"/>
    <x v="2"/>
    <x v="181"/>
    <x v="0"/>
    <x v="0"/>
    <x v="0"/>
    <x v="0"/>
    <x v="743"/>
    <x v="740"/>
    <x v="50"/>
  </r>
  <r>
    <x v="245"/>
    <x v="25"/>
    <x v="28"/>
    <x v="4"/>
    <x v="354"/>
    <x v="7"/>
    <x v="369"/>
    <x v="2"/>
    <x v="136"/>
    <x v="161"/>
    <x v="0"/>
    <x v="0"/>
    <x v="0"/>
    <x v="744"/>
    <x v="741"/>
    <x v="6"/>
  </r>
  <r>
    <x v="246"/>
    <x v="26"/>
    <x v="29"/>
    <x v="10"/>
    <x v="355"/>
    <x v="8"/>
    <x v="370"/>
    <x v="217"/>
    <x v="255"/>
    <x v="0"/>
    <x v="0"/>
    <x v="0"/>
    <x v="0"/>
    <x v="745"/>
    <x v="742"/>
    <x v="8"/>
  </r>
  <r>
    <x v="247"/>
    <x v="26"/>
    <x v="29"/>
    <x v="10"/>
    <x v="356"/>
    <x v="8"/>
    <x v="371"/>
    <x v="218"/>
    <x v="256"/>
    <x v="0"/>
    <x v="0"/>
    <x v="0"/>
    <x v="0"/>
    <x v="746"/>
    <x v="743"/>
    <x v="14"/>
  </r>
  <r>
    <x v="248"/>
    <x v="5"/>
    <x v="5"/>
    <x v="13"/>
    <x v="5"/>
    <x v="6"/>
    <x v="6"/>
    <x v="0"/>
    <x v="0"/>
    <x v="0"/>
    <x v="0"/>
    <x v="0"/>
    <x v="0"/>
    <x v="747"/>
    <x v="744"/>
    <x v="6"/>
  </r>
  <r>
    <x v="249"/>
    <x v="20"/>
    <x v="26"/>
    <x v="10"/>
    <x v="357"/>
    <x v="45"/>
    <x v="372"/>
    <x v="2"/>
    <x v="257"/>
    <x v="0"/>
    <x v="0"/>
    <x v="0"/>
    <x v="0"/>
    <x v="748"/>
    <x v="745"/>
    <x v="65"/>
  </r>
  <r>
    <x v="250"/>
    <x v="14"/>
    <x v="30"/>
    <x v="1"/>
    <x v="13"/>
    <x v="18"/>
    <x v="373"/>
    <x v="219"/>
    <x v="258"/>
    <x v="0"/>
    <x v="54"/>
    <x v="0"/>
    <x v="0"/>
    <x v="749"/>
    <x v="746"/>
    <x v="12"/>
  </r>
  <r>
    <x v="250"/>
    <x v="5"/>
    <x v="5"/>
    <x v="2"/>
    <x v="5"/>
    <x v="6"/>
    <x v="6"/>
    <x v="0"/>
    <x v="0"/>
    <x v="0"/>
    <x v="0"/>
    <x v="0"/>
    <x v="0"/>
    <x v="750"/>
    <x v="745"/>
    <x v="6"/>
  </r>
  <r>
    <x v="251"/>
    <x v="20"/>
    <x v="26"/>
    <x v="14"/>
    <x v="5"/>
    <x v="6"/>
    <x v="374"/>
    <x v="0"/>
    <x v="0"/>
    <x v="0"/>
    <x v="0"/>
    <x v="0"/>
    <x v="0"/>
    <x v="751"/>
    <x v="747"/>
    <x v="6"/>
  </r>
  <r>
    <x v="252"/>
    <x v="14"/>
    <x v="30"/>
    <x v="4"/>
    <x v="358"/>
    <x v="18"/>
    <x v="375"/>
    <x v="220"/>
    <x v="54"/>
    <x v="162"/>
    <x v="5"/>
    <x v="0"/>
    <x v="0"/>
    <x v="752"/>
    <x v="748"/>
    <x v="6"/>
  </r>
  <r>
    <x v="252"/>
    <x v="5"/>
    <x v="5"/>
    <x v="5"/>
    <x v="5"/>
    <x v="6"/>
    <x v="6"/>
    <x v="0"/>
    <x v="0"/>
    <x v="0"/>
    <x v="0"/>
    <x v="0"/>
    <x v="0"/>
    <x v="753"/>
    <x v="749"/>
    <x v="6"/>
  </r>
  <r>
    <x v="252"/>
    <x v="5"/>
    <x v="5"/>
    <x v="6"/>
    <x v="5"/>
    <x v="6"/>
    <x v="6"/>
    <x v="0"/>
    <x v="0"/>
    <x v="0"/>
    <x v="0"/>
    <x v="0"/>
    <x v="0"/>
    <x v="754"/>
    <x v="750"/>
    <x v="6"/>
  </r>
  <r>
    <x v="252"/>
    <x v="5"/>
    <x v="5"/>
    <x v="5"/>
    <x v="5"/>
    <x v="6"/>
    <x v="6"/>
    <x v="0"/>
    <x v="0"/>
    <x v="0"/>
    <x v="0"/>
    <x v="0"/>
    <x v="0"/>
    <x v="755"/>
    <x v="751"/>
    <x v="6"/>
  </r>
  <r>
    <x v="253"/>
    <x v="6"/>
    <x v="6"/>
    <x v="1"/>
    <x v="359"/>
    <x v="5"/>
    <x v="376"/>
    <x v="221"/>
    <x v="213"/>
    <x v="0"/>
    <x v="46"/>
    <x v="0"/>
    <x v="0"/>
    <x v="756"/>
    <x v="752"/>
    <x v="10"/>
  </r>
  <r>
    <x v="253"/>
    <x v="6"/>
    <x v="6"/>
    <x v="4"/>
    <x v="74"/>
    <x v="5"/>
    <x v="77"/>
    <x v="2"/>
    <x v="208"/>
    <x v="163"/>
    <x v="46"/>
    <x v="0"/>
    <x v="0"/>
    <x v="757"/>
    <x v="753"/>
    <x v="5"/>
  </r>
  <r>
    <x v="253"/>
    <x v="5"/>
    <x v="5"/>
    <x v="2"/>
    <x v="5"/>
    <x v="6"/>
    <x v="6"/>
    <x v="0"/>
    <x v="0"/>
    <x v="0"/>
    <x v="0"/>
    <x v="0"/>
    <x v="0"/>
    <x v="758"/>
    <x v="754"/>
    <x v="6"/>
  </r>
  <r>
    <x v="253"/>
    <x v="5"/>
    <x v="5"/>
    <x v="5"/>
    <x v="5"/>
    <x v="6"/>
    <x v="6"/>
    <x v="0"/>
    <x v="0"/>
    <x v="0"/>
    <x v="0"/>
    <x v="0"/>
    <x v="0"/>
    <x v="759"/>
    <x v="755"/>
    <x v="6"/>
  </r>
  <r>
    <x v="254"/>
    <x v="5"/>
    <x v="5"/>
    <x v="3"/>
    <x v="5"/>
    <x v="6"/>
    <x v="6"/>
    <x v="0"/>
    <x v="0"/>
    <x v="0"/>
    <x v="0"/>
    <x v="0"/>
    <x v="0"/>
    <x v="125"/>
    <x v="756"/>
    <x v="6"/>
  </r>
  <r>
    <x v="254"/>
    <x v="26"/>
    <x v="29"/>
    <x v="10"/>
    <x v="360"/>
    <x v="46"/>
    <x v="270"/>
    <x v="168"/>
    <x v="64"/>
    <x v="0"/>
    <x v="0"/>
    <x v="0"/>
    <x v="0"/>
    <x v="760"/>
    <x v="757"/>
    <x v="73"/>
  </r>
  <r>
    <x v="254"/>
    <x v="5"/>
    <x v="5"/>
    <x v="5"/>
    <x v="5"/>
    <x v="6"/>
    <x v="6"/>
    <x v="0"/>
    <x v="0"/>
    <x v="0"/>
    <x v="0"/>
    <x v="0"/>
    <x v="0"/>
    <x v="761"/>
    <x v="758"/>
    <x v="6"/>
  </r>
  <r>
    <x v="254"/>
    <x v="5"/>
    <x v="5"/>
    <x v="6"/>
    <x v="5"/>
    <x v="6"/>
    <x v="6"/>
    <x v="0"/>
    <x v="0"/>
    <x v="0"/>
    <x v="0"/>
    <x v="0"/>
    <x v="0"/>
    <x v="762"/>
    <x v="759"/>
    <x v="6"/>
  </r>
  <r>
    <x v="255"/>
    <x v="25"/>
    <x v="28"/>
    <x v="1"/>
    <x v="361"/>
    <x v="31"/>
    <x v="377"/>
    <x v="222"/>
    <x v="259"/>
    <x v="0"/>
    <x v="0"/>
    <x v="0"/>
    <x v="0"/>
    <x v="763"/>
    <x v="760"/>
    <x v="16"/>
  </r>
  <r>
    <x v="255"/>
    <x v="20"/>
    <x v="26"/>
    <x v="1"/>
    <x v="362"/>
    <x v="18"/>
    <x v="213"/>
    <x v="223"/>
    <x v="260"/>
    <x v="0"/>
    <x v="0"/>
    <x v="0"/>
    <x v="0"/>
    <x v="764"/>
    <x v="761"/>
    <x v="74"/>
  </r>
  <r>
    <x v="255"/>
    <x v="5"/>
    <x v="5"/>
    <x v="2"/>
    <x v="5"/>
    <x v="6"/>
    <x v="6"/>
    <x v="0"/>
    <x v="0"/>
    <x v="0"/>
    <x v="0"/>
    <x v="0"/>
    <x v="0"/>
    <x v="765"/>
    <x v="762"/>
    <x v="6"/>
  </r>
  <r>
    <x v="255"/>
    <x v="5"/>
    <x v="5"/>
    <x v="2"/>
    <x v="5"/>
    <x v="6"/>
    <x v="6"/>
    <x v="0"/>
    <x v="0"/>
    <x v="0"/>
    <x v="0"/>
    <x v="0"/>
    <x v="0"/>
    <x v="766"/>
    <x v="758"/>
    <x v="6"/>
  </r>
  <r>
    <x v="256"/>
    <x v="26"/>
    <x v="29"/>
    <x v="4"/>
    <x v="363"/>
    <x v="46"/>
    <x v="378"/>
    <x v="224"/>
    <x v="214"/>
    <x v="164"/>
    <x v="0"/>
    <x v="0"/>
    <x v="0"/>
    <x v="767"/>
    <x v="763"/>
    <x v="14"/>
  </r>
  <r>
    <x v="257"/>
    <x v="6"/>
    <x v="6"/>
    <x v="14"/>
    <x v="5"/>
    <x v="5"/>
    <x v="379"/>
    <x v="0"/>
    <x v="0"/>
    <x v="0"/>
    <x v="0"/>
    <x v="0"/>
    <x v="0"/>
    <x v="113"/>
    <x v="764"/>
    <x v="6"/>
  </r>
  <r>
    <x v="258"/>
    <x v="5"/>
    <x v="5"/>
    <x v="12"/>
    <x v="5"/>
    <x v="6"/>
    <x v="6"/>
    <x v="0"/>
    <x v="0"/>
    <x v="0"/>
    <x v="0"/>
    <x v="0"/>
    <x v="0"/>
    <x v="768"/>
    <x v="765"/>
    <x v="6"/>
  </r>
  <r>
    <x v="259"/>
    <x v="5"/>
    <x v="5"/>
    <x v="13"/>
    <x v="5"/>
    <x v="6"/>
    <x v="6"/>
    <x v="0"/>
    <x v="0"/>
    <x v="0"/>
    <x v="0"/>
    <x v="0"/>
    <x v="0"/>
    <x v="769"/>
    <x v="766"/>
    <x v="6"/>
  </r>
  <r>
    <x v="260"/>
    <x v="20"/>
    <x v="26"/>
    <x v="4"/>
    <x v="364"/>
    <x v="47"/>
    <x v="380"/>
    <x v="225"/>
    <x v="56"/>
    <x v="165"/>
    <x v="0"/>
    <x v="0"/>
    <x v="0"/>
    <x v="770"/>
    <x v="767"/>
    <x v="24"/>
  </r>
  <r>
    <x v="260"/>
    <x v="6"/>
    <x v="6"/>
    <x v="10"/>
    <x v="365"/>
    <x v="5"/>
    <x v="381"/>
    <x v="2"/>
    <x v="162"/>
    <x v="0"/>
    <x v="23"/>
    <x v="0"/>
    <x v="0"/>
    <x v="771"/>
    <x v="768"/>
    <x v="10"/>
  </r>
  <r>
    <x v="260"/>
    <x v="25"/>
    <x v="28"/>
    <x v="1"/>
    <x v="366"/>
    <x v="31"/>
    <x v="382"/>
    <x v="226"/>
    <x v="261"/>
    <x v="0"/>
    <x v="0"/>
    <x v="0"/>
    <x v="0"/>
    <x v="772"/>
    <x v="769"/>
    <x v="12"/>
  </r>
  <r>
    <x v="260"/>
    <x v="5"/>
    <x v="5"/>
    <x v="2"/>
    <x v="5"/>
    <x v="6"/>
    <x v="6"/>
    <x v="0"/>
    <x v="0"/>
    <x v="0"/>
    <x v="0"/>
    <x v="0"/>
    <x v="0"/>
    <x v="773"/>
    <x v="768"/>
    <x v="6"/>
  </r>
  <r>
    <x v="260"/>
    <x v="5"/>
    <x v="5"/>
    <x v="5"/>
    <x v="5"/>
    <x v="6"/>
    <x v="6"/>
    <x v="0"/>
    <x v="0"/>
    <x v="0"/>
    <x v="0"/>
    <x v="0"/>
    <x v="0"/>
    <x v="764"/>
    <x v="770"/>
    <x v="6"/>
  </r>
  <r>
    <x v="260"/>
    <x v="5"/>
    <x v="5"/>
    <x v="6"/>
    <x v="5"/>
    <x v="6"/>
    <x v="6"/>
    <x v="0"/>
    <x v="0"/>
    <x v="0"/>
    <x v="0"/>
    <x v="0"/>
    <x v="0"/>
    <x v="774"/>
    <x v="771"/>
    <x v="6"/>
  </r>
  <r>
    <x v="261"/>
    <x v="20"/>
    <x v="26"/>
    <x v="16"/>
    <x v="5"/>
    <x v="6"/>
    <x v="6"/>
    <x v="0"/>
    <x v="0"/>
    <x v="0"/>
    <x v="0"/>
    <x v="0"/>
    <x v="0"/>
    <x v="775"/>
    <x v="772"/>
    <x v="6"/>
  </r>
  <r>
    <x v="262"/>
    <x v="25"/>
    <x v="28"/>
    <x v="4"/>
    <x v="367"/>
    <x v="31"/>
    <x v="383"/>
    <x v="66"/>
    <x v="242"/>
    <x v="166"/>
    <x v="0"/>
    <x v="0"/>
    <x v="0"/>
    <x v="776"/>
    <x v="773"/>
    <x v="16"/>
  </r>
  <r>
    <x v="262"/>
    <x v="25"/>
    <x v="28"/>
    <x v="1"/>
    <x v="368"/>
    <x v="31"/>
    <x v="384"/>
    <x v="227"/>
    <x v="262"/>
    <x v="0"/>
    <x v="0"/>
    <x v="0"/>
    <x v="0"/>
    <x v="777"/>
    <x v="774"/>
    <x v="12"/>
  </r>
  <r>
    <x v="262"/>
    <x v="5"/>
    <x v="5"/>
    <x v="2"/>
    <x v="5"/>
    <x v="6"/>
    <x v="6"/>
    <x v="0"/>
    <x v="0"/>
    <x v="0"/>
    <x v="0"/>
    <x v="0"/>
    <x v="0"/>
    <x v="778"/>
    <x v="773"/>
    <x v="6"/>
  </r>
  <r>
    <x v="262"/>
    <x v="5"/>
    <x v="5"/>
    <x v="5"/>
    <x v="5"/>
    <x v="6"/>
    <x v="6"/>
    <x v="0"/>
    <x v="0"/>
    <x v="0"/>
    <x v="0"/>
    <x v="0"/>
    <x v="0"/>
    <x v="763"/>
    <x v="775"/>
    <x v="6"/>
  </r>
  <r>
    <x v="262"/>
    <x v="5"/>
    <x v="5"/>
    <x v="5"/>
    <x v="5"/>
    <x v="6"/>
    <x v="6"/>
    <x v="0"/>
    <x v="0"/>
    <x v="0"/>
    <x v="0"/>
    <x v="0"/>
    <x v="0"/>
    <x v="779"/>
    <x v="776"/>
    <x v="6"/>
  </r>
  <r>
    <x v="262"/>
    <x v="5"/>
    <x v="5"/>
    <x v="6"/>
    <x v="5"/>
    <x v="6"/>
    <x v="6"/>
    <x v="0"/>
    <x v="0"/>
    <x v="0"/>
    <x v="0"/>
    <x v="0"/>
    <x v="0"/>
    <x v="780"/>
    <x v="777"/>
    <x v="6"/>
  </r>
  <r>
    <x v="263"/>
    <x v="25"/>
    <x v="28"/>
    <x v="1"/>
    <x v="369"/>
    <x v="31"/>
    <x v="385"/>
    <x v="228"/>
    <x v="263"/>
    <x v="0"/>
    <x v="0"/>
    <x v="0"/>
    <x v="0"/>
    <x v="781"/>
    <x v="778"/>
    <x v="75"/>
  </r>
  <r>
    <x v="263"/>
    <x v="5"/>
    <x v="5"/>
    <x v="2"/>
    <x v="5"/>
    <x v="6"/>
    <x v="6"/>
    <x v="0"/>
    <x v="0"/>
    <x v="0"/>
    <x v="0"/>
    <x v="0"/>
    <x v="0"/>
    <x v="782"/>
    <x v="777"/>
    <x v="6"/>
  </r>
  <r>
    <x v="264"/>
    <x v="26"/>
    <x v="29"/>
    <x v="14"/>
    <x v="5"/>
    <x v="6"/>
    <x v="386"/>
    <x v="0"/>
    <x v="0"/>
    <x v="0"/>
    <x v="0"/>
    <x v="0"/>
    <x v="0"/>
    <x v="783"/>
    <x v="779"/>
    <x v="6"/>
  </r>
  <r>
    <x v="265"/>
    <x v="5"/>
    <x v="5"/>
    <x v="5"/>
    <x v="5"/>
    <x v="6"/>
    <x v="6"/>
    <x v="0"/>
    <x v="0"/>
    <x v="0"/>
    <x v="0"/>
    <x v="0"/>
    <x v="0"/>
    <x v="784"/>
    <x v="780"/>
    <x v="6"/>
  </r>
  <r>
    <x v="265"/>
    <x v="5"/>
    <x v="5"/>
    <x v="6"/>
    <x v="5"/>
    <x v="6"/>
    <x v="6"/>
    <x v="0"/>
    <x v="0"/>
    <x v="0"/>
    <x v="0"/>
    <x v="0"/>
    <x v="0"/>
    <x v="785"/>
    <x v="781"/>
    <x v="6"/>
  </r>
  <r>
    <x v="266"/>
    <x v="6"/>
    <x v="6"/>
    <x v="4"/>
    <x v="370"/>
    <x v="5"/>
    <x v="387"/>
    <x v="2"/>
    <x v="116"/>
    <x v="167"/>
    <x v="41"/>
    <x v="0"/>
    <x v="0"/>
    <x v="786"/>
    <x v="782"/>
    <x v="5"/>
  </r>
  <r>
    <x v="266"/>
    <x v="5"/>
    <x v="5"/>
    <x v="5"/>
    <x v="5"/>
    <x v="6"/>
    <x v="6"/>
    <x v="0"/>
    <x v="0"/>
    <x v="0"/>
    <x v="0"/>
    <x v="0"/>
    <x v="0"/>
    <x v="787"/>
    <x v="783"/>
    <x v="6"/>
  </r>
  <r>
    <x v="266"/>
    <x v="5"/>
    <x v="5"/>
    <x v="6"/>
    <x v="5"/>
    <x v="6"/>
    <x v="6"/>
    <x v="0"/>
    <x v="0"/>
    <x v="0"/>
    <x v="0"/>
    <x v="0"/>
    <x v="0"/>
    <x v="788"/>
    <x v="784"/>
    <x v="6"/>
  </r>
  <r>
    <x v="267"/>
    <x v="6"/>
    <x v="6"/>
    <x v="16"/>
    <x v="5"/>
    <x v="6"/>
    <x v="6"/>
    <x v="0"/>
    <x v="0"/>
    <x v="0"/>
    <x v="0"/>
    <x v="0"/>
    <x v="0"/>
    <x v="789"/>
    <x v="785"/>
    <x v="6"/>
  </r>
  <r>
    <x v="267"/>
    <x v="19"/>
    <x v="21"/>
    <x v="10"/>
    <x v="371"/>
    <x v="46"/>
    <x v="388"/>
    <x v="2"/>
    <x v="114"/>
    <x v="0"/>
    <x v="23"/>
    <x v="0"/>
    <x v="0"/>
    <x v="790"/>
    <x v="786"/>
    <x v="76"/>
  </r>
  <r>
    <x v="268"/>
    <x v="6"/>
    <x v="6"/>
    <x v="4"/>
    <x v="372"/>
    <x v="5"/>
    <x v="389"/>
    <x v="2"/>
    <x v="116"/>
    <x v="168"/>
    <x v="41"/>
    <x v="0"/>
    <x v="0"/>
    <x v="791"/>
    <x v="787"/>
    <x v="6"/>
  </r>
  <r>
    <x v="268"/>
    <x v="6"/>
    <x v="6"/>
    <x v="10"/>
    <x v="373"/>
    <x v="5"/>
    <x v="390"/>
    <x v="2"/>
    <x v="114"/>
    <x v="0"/>
    <x v="23"/>
    <x v="0"/>
    <x v="0"/>
    <x v="792"/>
    <x v="788"/>
    <x v="5"/>
  </r>
  <r>
    <x v="269"/>
    <x v="19"/>
    <x v="21"/>
    <x v="4"/>
    <x v="374"/>
    <x v="46"/>
    <x v="391"/>
    <x v="2"/>
    <x v="162"/>
    <x v="169"/>
    <x v="23"/>
    <x v="0"/>
    <x v="0"/>
    <x v="793"/>
    <x v="789"/>
    <x v="6"/>
  </r>
  <r>
    <x v="269"/>
    <x v="26"/>
    <x v="29"/>
    <x v="10"/>
    <x v="375"/>
    <x v="0"/>
    <x v="392"/>
    <x v="2"/>
    <x v="264"/>
    <x v="0"/>
    <x v="0"/>
    <x v="0"/>
    <x v="0"/>
    <x v="794"/>
    <x v="790"/>
    <x v="75"/>
  </r>
  <r>
    <x v="270"/>
    <x v="6"/>
    <x v="6"/>
    <x v="1"/>
    <x v="376"/>
    <x v="5"/>
    <x v="393"/>
    <x v="229"/>
    <x v="265"/>
    <x v="0"/>
    <x v="23"/>
    <x v="0"/>
    <x v="0"/>
    <x v="795"/>
    <x v="791"/>
    <x v="10"/>
  </r>
  <r>
    <x v="270"/>
    <x v="5"/>
    <x v="5"/>
    <x v="2"/>
    <x v="5"/>
    <x v="6"/>
    <x v="6"/>
    <x v="0"/>
    <x v="0"/>
    <x v="0"/>
    <x v="0"/>
    <x v="0"/>
    <x v="0"/>
    <x v="796"/>
    <x v="790"/>
    <x v="6"/>
  </r>
  <r>
    <x v="271"/>
    <x v="6"/>
    <x v="6"/>
    <x v="4"/>
    <x v="377"/>
    <x v="5"/>
    <x v="394"/>
    <x v="2"/>
    <x v="114"/>
    <x v="170"/>
    <x v="23"/>
    <x v="0"/>
    <x v="0"/>
    <x v="797"/>
    <x v="792"/>
    <x v="5"/>
  </r>
  <r>
    <x v="271"/>
    <x v="5"/>
    <x v="5"/>
    <x v="5"/>
    <x v="5"/>
    <x v="6"/>
    <x v="6"/>
    <x v="0"/>
    <x v="0"/>
    <x v="0"/>
    <x v="0"/>
    <x v="0"/>
    <x v="0"/>
    <x v="798"/>
    <x v="793"/>
    <x v="6"/>
  </r>
  <r>
    <x v="271"/>
    <x v="5"/>
    <x v="5"/>
    <x v="6"/>
    <x v="5"/>
    <x v="6"/>
    <x v="6"/>
    <x v="0"/>
    <x v="0"/>
    <x v="0"/>
    <x v="0"/>
    <x v="0"/>
    <x v="0"/>
    <x v="799"/>
    <x v="794"/>
    <x v="6"/>
  </r>
  <r>
    <x v="271"/>
    <x v="5"/>
    <x v="5"/>
    <x v="5"/>
    <x v="5"/>
    <x v="6"/>
    <x v="6"/>
    <x v="0"/>
    <x v="0"/>
    <x v="0"/>
    <x v="0"/>
    <x v="0"/>
    <x v="0"/>
    <x v="795"/>
    <x v="795"/>
    <x v="6"/>
  </r>
  <r>
    <x v="271"/>
    <x v="5"/>
    <x v="5"/>
    <x v="6"/>
    <x v="5"/>
    <x v="6"/>
    <x v="6"/>
    <x v="0"/>
    <x v="0"/>
    <x v="0"/>
    <x v="0"/>
    <x v="0"/>
    <x v="0"/>
    <x v="800"/>
    <x v="796"/>
    <x v="6"/>
  </r>
  <r>
    <x v="272"/>
    <x v="6"/>
    <x v="6"/>
    <x v="4"/>
    <x v="378"/>
    <x v="5"/>
    <x v="395"/>
    <x v="2"/>
    <x v="121"/>
    <x v="171"/>
    <x v="23"/>
    <x v="0"/>
    <x v="0"/>
    <x v="801"/>
    <x v="797"/>
    <x v="6"/>
  </r>
  <r>
    <x v="272"/>
    <x v="27"/>
    <x v="31"/>
    <x v="10"/>
    <x v="379"/>
    <x v="48"/>
    <x v="396"/>
    <x v="2"/>
    <x v="162"/>
    <x v="0"/>
    <x v="23"/>
    <x v="0"/>
    <x v="0"/>
    <x v="802"/>
    <x v="798"/>
    <x v="77"/>
  </r>
  <r>
    <x v="273"/>
    <x v="27"/>
    <x v="31"/>
    <x v="4"/>
    <x v="380"/>
    <x v="48"/>
    <x v="397"/>
    <x v="2"/>
    <x v="64"/>
    <x v="172"/>
    <x v="21"/>
    <x v="0"/>
    <x v="0"/>
    <x v="803"/>
    <x v="799"/>
    <x v="6"/>
  </r>
  <r>
    <x v="273"/>
    <x v="5"/>
    <x v="5"/>
    <x v="5"/>
    <x v="5"/>
    <x v="6"/>
    <x v="6"/>
    <x v="0"/>
    <x v="0"/>
    <x v="0"/>
    <x v="0"/>
    <x v="0"/>
    <x v="0"/>
    <x v="804"/>
    <x v="800"/>
    <x v="6"/>
  </r>
  <r>
    <x v="273"/>
    <x v="5"/>
    <x v="5"/>
    <x v="6"/>
    <x v="5"/>
    <x v="6"/>
    <x v="6"/>
    <x v="0"/>
    <x v="0"/>
    <x v="0"/>
    <x v="0"/>
    <x v="0"/>
    <x v="0"/>
    <x v="805"/>
    <x v="801"/>
    <x v="6"/>
  </r>
  <r>
    <x v="273"/>
    <x v="5"/>
    <x v="5"/>
    <x v="5"/>
    <x v="5"/>
    <x v="6"/>
    <x v="6"/>
    <x v="0"/>
    <x v="0"/>
    <x v="0"/>
    <x v="0"/>
    <x v="0"/>
    <x v="0"/>
    <x v="806"/>
    <x v="802"/>
    <x v="6"/>
  </r>
  <r>
    <x v="273"/>
    <x v="5"/>
    <x v="5"/>
    <x v="6"/>
    <x v="5"/>
    <x v="6"/>
    <x v="6"/>
    <x v="0"/>
    <x v="0"/>
    <x v="0"/>
    <x v="0"/>
    <x v="0"/>
    <x v="0"/>
    <x v="807"/>
    <x v="803"/>
    <x v="6"/>
  </r>
  <r>
    <x v="274"/>
    <x v="20"/>
    <x v="26"/>
    <x v="1"/>
    <x v="381"/>
    <x v="49"/>
    <x v="398"/>
    <x v="230"/>
    <x v="266"/>
    <x v="0"/>
    <x v="0"/>
    <x v="0"/>
    <x v="0"/>
    <x v="808"/>
    <x v="804"/>
    <x v="60"/>
  </r>
  <r>
    <x v="274"/>
    <x v="21"/>
    <x v="23"/>
    <x v="1"/>
    <x v="382"/>
    <x v="8"/>
    <x v="399"/>
    <x v="231"/>
    <x v="267"/>
    <x v="0"/>
    <x v="57"/>
    <x v="0"/>
    <x v="0"/>
    <x v="809"/>
    <x v="805"/>
    <x v="78"/>
  </r>
  <r>
    <x v="274"/>
    <x v="5"/>
    <x v="5"/>
    <x v="2"/>
    <x v="5"/>
    <x v="6"/>
    <x v="6"/>
    <x v="0"/>
    <x v="0"/>
    <x v="0"/>
    <x v="0"/>
    <x v="0"/>
    <x v="0"/>
    <x v="810"/>
    <x v="804"/>
    <x v="6"/>
  </r>
  <r>
    <x v="274"/>
    <x v="5"/>
    <x v="5"/>
    <x v="2"/>
    <x v="5"/>
    <x v="6"/>
    <x v="6"/>
    <x v="0"/>
    <x v="0"/>
    <x v="0"/>
    <x v="0"/>
    <x v="0"/>
    <x v="0"/>
    <x v="811"/>
    <x v="802"/>
    <x v="6"/>
  </r>
  <r>
    <x v="275"/>
    <x v="21"/>
    <x v="23"/>
    <x v="4"/>
    <x v="383"/>
    <x v="8"/>
    <x v="400"/>
    <x v="232"/>
    <x v="268"/>
    <x v="173"/>
    <x v="58"/>
    <x v="0"/>
    <x v="0"/>
    <x v="812"/>
    <x v="806"/>
    <x v="67"/>
  </r>
  <r>
    <x v="275"/>
    <x v="5"/>
    <x v="5"/>
    <x v="5"/>
    <x v="5"/>
    <x v="6"/>
    <x v="6"/>
    <x v="0"/>
    <x v="0"/>
    <x v="0"/>
    <x v="0"/>
    <x v="0"/>
    <x v="0"/>
    <x v="809"/>
    <x v="807"/>
    <x v="6"/>
  </r>
  <r>
    <x v="275"/>
    <x v="5"/>
    <x v="5"/>
    <x v="6"/>
    <x v="5"/>
    <x v="6"/>
    <x v="6"/>
    <x v="0"/>
    <x v="0"/>
    <x v="0"/>
    <x v="0"/>
    <x v="0"/>
    <x v="0"/>
    <x v="813"/>
    <x v="808"/>
    <x v="6"/>
  </r>
  <r>
    <x v="276"/>
    <x v="20"/>
    <x v="26"/>
    <x v="4"/>
    <x v="384"/>
    <x v="49"/>
    <x v="401"/>
    <x v="233"/>
    <x v="269"/>
    <x v="174"/>
    <x v="0"/>
    <x v="0"/>
    <x v="0"/>
    <x v="814"/>
    <x v="809"/>
    <x v="24"/>
  </r>
  <r>
    <x v="276"/>
    <x v="5"/>
    <x v="5"/>
    <x v="5"/>
    <x v="5"/>
    <x v="6"/>
    <x v="6"/>
    <x v="0"/>
    <x v="0"/>
    <x v="0"/>
    <x v="0"/>
    <x v="0"/>
    <x v="0"/>
    <x v="815"/>
    <x v="810"/>
    <x v="6"/>
  </r>
  <r>
    <x v="276"/>
    <x v="5"/>
    <x v="5"/>
    <x v="6"/>
    <x v="5"/>
    <x v="6"/>
    <x v="6"/>
    <x v="0"/>
    <x v="0"/>
    <x v="0"/>
    <x v="0"/>
    <x v="0"/>
    <x v="0"/>
    <x v="816"/>
    <x v="811"/>
    <x v="6"/>
  </r>
  <r>
    <x v="276"/>
    <x v="5"/>
    <x v="5"/>
    <x v="5"/>
    <x v="5"/>
    <x v="6"/>
    <x v="6"/>
    <x v="0"/>
    <x v="0"/>
    <x v="0"/>
    <x v="0"/>
    <x v="0"/>
    <x v="0"/>
    <x v="808"/>
    <x v="812"/>
    <x v="6"/>
  </r>
  <r>
    <x v="276"/>
    <x v="5"/>
    <x v="5"/>
    <x v="6"/>
    <x v="5"/>
    <x v="6"/>
    <x v="6"/>
    <x v="0"/>
    <x v="0"/>
    <x v="0"/>
    <x v="0"/>
    <x v="0"/>
    <x v="0"/>
    <x v="817"/>
    <x v="813"/>
    <x v="6"/>
  </r>
  <r>
    <x v="277"/>
    <x v="20"/>
    <x v="26"/>
    <x v="16"/>
    <x v="5"/>
    <x v="6"/>
    <x v="6"/>
    <x v="0"/>
    <x v="0"/>
    <x v="0"/>
    <x v="0"/>
    <x v="0"/>
    <x v="0"/>
    <x v="818"/>
    <x v="814"/>
    <x v="6"/>
  </r>
  <r>
    <x v="278"/>
    <x v="28"/>
    <x v="32"/>
    <x v="1"/>
    <x v="385"/>
    <x v="5"/>
    <x v="402"/>
    <x v="2"/>
    <x v="65"/>
    <x v="0"/>
    <x v="0"/>
    <x v="0"/>
    <x v="0"/>
    <x v="819"/>
    <x v="815"/>
    <x v="5"/>
  </r>
  <r>
    <x v="278"/>
    <x v="5"/>
    <x v="5"/>
    <x v="2"/>
    <x v="5"/>
    <x v="6"/>
    <x v="6"/>
    <x v="0"/>
    <x v="0"/>
    <x v="0"/>
    <x v="0"/>
    <x v="0"/>
    <x v="0"/>
    <x v="820"/>
    <x v="814"/>
    <x v="6"/>
  </r>
  <r>
    <x v="279"/>
    <x v="21"/>
    <x v="23"/>
    <x v="14"/>
    <x v="5"/>
    <x v="50"/>
    <x v="403"/>
    <x v="0"/>
    <x v="0"/>
    <x v="0"/>
    <x v="0"/>
    <x v="0"/>
    <x v="0"/>
    <x v="821"/>
    <x v="816"/>
    <x v="6"/>
  </r>
  <r>
    <x v="279"/>
    <x v="28"/>
    <x v="32"/>
    <x v="4"/>
    <x v="386"/>
    <x v="5"/>
    <x v="404"/>
    <x v="2"/>
    <x v="66"/>
    <x v="175"/>
    <x v="0"/>
    <x v="0"/>
    <x v="0"/>
    <x v="822"/>
    <x v="817"/>
    <x v="6"/>
  </r>
  <r>
    <x v="279"/>
    <x v="21"/>
    <x v="23"/>
    <x v="1"/>
    <x v="387"/>
    <x v="8"/>
    <x v="405"/>
    <x v="234"/>
    <x v="270"/>
    <x v="0"/>
    <x v="57"/>
    <x v="0"/>
    <x v="0"/>
    <x v="823"/>
    <x v="818"/>
    <x v="78"/>
  </r>
  <r>
    <x v="279"/>
    <x v="5"/>
    <x v="5"/>
    <x v="2"/>
    <x v="5"/>
    <x v="6"/>
    <x v="6"/>
    <x v="0"/>
    <x v="0"/>
    <x v="0"/>
    <x v="0"/>
    <x v="0"/>
    <x v="0"/>
    <x v="824"/>
    <x v="817"/>
    <x v="6"/>
  </r>
  <r>
    <x v="279"/>
    <x v="5"/>
    <x v="5"/>
    <x v="5"/>
    <x v="5"/>
    <x v="6"/>
    <x v="6"/>
    <x v="0"/>
    <x v="0"/>
    <x v="0"/>
    <x v="0"/>
    <x v="0"/>
    <x v="0"/>
    <x v="825"/>
    <x v="819"/>
    <x v="6"/>
  </r>
  <r>
    <x v="279"/>
    <x v="5"/>
    <x v="5"/>
    <x v="6"/>
    <x v="5"/>
    <x v="6"/>
    <x v="6"/>
    <x v="0"/>
    <x v="0"/>
    <x v="0"/>
    <x v="0"/>
    <x v="0"/>
    <x v="0"/>
    <x v="826"/>
    <x v="820"/>
    <x v="6"/>
  </r>
  <r>
    <x v="279"/>
    <x v="5"/>
    <x v="5"/>
    <x v="5"/>
    <x v="5"/>
    <x v="6"/>
    <x v="6"/>
    <x v="0"/>
    <x v="0"/>
    <x v="0"/>
    <x v="0"/>
    <x v="0"/>
    <x v="0"/>
    <x v="827"/>
    <x v="821"/>
    <x v="6"/>
  </r>
  <r>
    <x v="280"/>
    <x v="5"/>
    <x v="5"/>
    <x v="5"/>
    <x v="5"/>
    <x v="6"/>
    <x v="6"/>
    <x v="0"/>
    <x v="0"/>
    <x v="0"/>
    <x v="0"/>
    <x v="0"/>
    <x v="0"/>
    <x v="828"/>
    <x v="822"/>
    <x v="6"/>
  </r>
  <r>
    <x v="280"/>
    <x v="5"/>
    <x v="5"/>
    <x v="6"/>
    <x v="5"/>
    <x v="6"/>
    <x v="6"/>
    <x v="0"/>
    <x v="0"/>
    <x v="0"/>
    <x v="0"/>
    <x v="0"/>
    <x v="0"/>
    <x v="829"/>
    <x v="823"/>
    <x v="6"/>
  </r>
  <r>
    <x v="281"/>
    <x v="6"/>
    <x v="6"/>
    <x v="1"/>
    <x v="388"/>
    <x v="5"/>
    <x v="406"/>
    <x v="235"/>
    <x v="271"/>
    <x v="0"/>
    <x v="40"/>
    <x v="0"/>
    <x v="0"/>
    <x v="830"/>
    <x v="824"/>
    <x v="5"/>
  </r>
  <r>
    <x v="281"/>
    <x v="5"/>
    <x v="5"/>
    <x v="2"/>
    <x v="5"/>
    <x v="6"/>
    <x v="6"/>
    <x v="0"/>
    <x v="0"/>
    <x v="0"/>
    <x v="0"/>
    <x v="0"/>
    <x v="0"/>
    <x v="831"/>
    <x v="822"/>
    <x v="6"/>
  </r>
  <r>
    <x v="282"/>
    <x v="6"/>
    <x v="6"/>
    <x v="4"/>
    <x v="389"/>
    <x v="5"/>
    <x v="407"/>
    <x v="2"/>
    <x v="64"/>
    <x v="176"/>
    <x v="21"/>
    <x v="0"/>
    <x v="0"/>
    <x v="832"/>
    <x v="825"/>
    <x v="6"/>
  </r>
  <r>
    <x v="282"/>
    <x v="5"/>
    <x v="5"/>
    <x v="5"/>
    <x v="5"/>
    <x v="6"/>
    <x v="6"/>
    <x v="0"/>
    <x v="0"/>
    <x v="0"/>
    <x v="0"/>
    <x v="0"/>
    <x v="0"/>
    <x v="833"/>
    <x v="826"/>
    <x v="6"/>
  </r>
  <r>
    <x v="282"/>
    <x v="5"/>
    <x v="5"/>
    <x v="6"/>
    <x v="5"/>
    <x v="6"/>
    <x v="6"/>
    <x v="0"/>
    <x v="0"/>
    <x v="0"/>
    <x v="0"/>
    <x v="0"/>
    <x v="0"/>
    <x v="834"/>
    <x v="827"/>
    <x v="6"/>
  </r>
  <r>
    <x v="282"/>
    <x v="5"/>
    <x v="5"/>
    <x v="5"/>
    <x v="5"/>
    <x v="6"/>
    <x v="6"/>
    <x v="0"/>
    <x v="0"/>
    <x v="0"/>
    <x v="0"/>
    <x v="0"/>
    <x v="0"/>
    <x v="830"/>
    <x v="828"/>
    <x v="6"/>
  </r>
  <r>
    <x v="282"/>
    <x v="5"/>
    <x v="5"/>
    <x v="6"/>
    <x v="5"/>
    <x v="6"/>
    <x v="6"/>
    <x v="0"/>
    <x v="0"/>
    <x v="0"/>
    <x v="0"/>
    <x v="0"/>
    <x v="0"/>
    <x v="835"/>
    <x v="829"/>
    <x v="6"/>
  </r>
  <r>
    <x v="283"/>
    <x v="25"/>
    <x v="28"/>
    <x v="4"/>
    <x v="390"/>
    <x v="31"/>
    <x v="408"/>
    <x v="52"/>
    <x v="272"/>
    <x v="177"/>
    <x v="0"/>
    <x v="0"/>
    <x v="0"/>
    <x v="836"/>
    <x v="830"/>
    <x v="12"/>
  </r>
  <r>
    <x v="283"/>
    <x v="5"/>
    <x v="5"/>
    <x v="5"/>
    <x v="5"/>
    <x v="6"/>
    <x v="6"/>
    <x v="0"/>
    <x v="0"/>
    <x v="0"/>
    <x v="0"/>
    <x v="0"/>
    <x v="0"/>
    <x v="837"/>
    <x v="831"/>
    <x v="6"/>
  </r>
  <r>
    <x v="283"/>
    <x v="5"/>
    <x v="5"/>
    <x v="5"/>
    <x v="5"/>
    <x v="6"/>
    <x v="6"/>
    <x v="0"/>
    <x v="0"/>
    <x v="0"/>
    <x v="0"/>
    <x v="0"/>
    <x v="0"/>
    <x v="838"/>
    <x v="832"/>
    <x v="6"/>
  </r>
  <r>
    <x v="283"/>
    <x v="5"/>
    <x v="5"/>
    <x v="6"/>
    <x v="5"/>
    <x v="6"/>
    <x v="6"/>
    <x v="0"/>
    <x v="0"/>
    <x v="0"/>
    <x v="0"/>
    <x v="0"/>
    <x v="0"/>
    <x v="813"/>
    <x v="833"/>
    <x v="6"/>
  </r>
  <r>
    <x v="284"/>
    <x v="25"/>
    <x v="28"/>
    <x v="1"/>
    <x v="391"/>
    <x v="31"/>
    <x v="409"/>
    <x v="236"/>
    <x v="135"/>
    <x v="0"/>
    <x v="0"/>
    <x v="0"/>
    <x v="0"/>
    <x v="839"/>
    <x v="834"/>
    <x v="75"/>
  </r>
  <r>
    <x v="284"/>
    <x v="28"/>
    <x v="32"/>
    <x v="1"/>
    <x v="385"/>
    <x v="5"/>
    <x v="402"/>
    <x v="2"/>
    <x v="65"/>
    <x v="0"/>
    <x v="0"/>
    <x v="0"/>
    <x v="0"/>
    <x v="819"/>
    <x v="835"/>
    <x v="5"/>
  </r>
  <r>
    <x v="284"/>
    <x v="25"/>
    <x v="28"/>
    <x v="4"/>
    <x v="392"/>
    <x v="31"/>
    <x v="410"/>
    <x v="237"/>
    <x v="273"/>
    <x v="178"/>
    <x v="0"/>
    <x v="0"/>
    <x v="0"/>
    <x v="840"/>
    <x v="836"/>
    <x v="12"/>
  </r>
  <r>
    <x v="284"/>
    <x v="5"/>
    <x v="5"/>
    <x v="2"/>
    <x v="5"/>
    <x v="6"/>
    <x v="6"/>
    <x v="0"/>
    <x v="0"/>
    <x v="0"/>
    <x v="0"/>
    <x v="0"/>
    <x v="0"/>
    <x v="841"/>
    <x v="837"/>
    <x v="6"/>
  </r>
  <r>
    <x v="284"/>
    <x v="5"/>
    <x v="5"/>
    <x v="2"/>
    <x v="5"/>
    <x v="6"/>
    <x v="6"/>
    <x v="0"/>
    <x v="0"/>
    <x v="0"/>
    <x v="0"/>
    <x v="0"/>
    <x v="0"/>
    <x v="820"/>
    <x v="838"/>
    <x v="6"/>
  </r>
  <r>
    <x v="284"/>
    <x v="5"/>
    <x v="5"/>
    <x v="5"/>
    <x v="5"/>
    <x v="6"/>
    <x v="6"/>
    <x v="0"/>
    <x v="0"/>
    <x v="0"/>
    <x v="0"/>
    <x v="0"/>
    <x v="0"/>
    <x v="842"/>
    <x v="839"/>
    <x v="6"/>
  </r>
  <r>
    <x v="284"/>
    <x v="5"/>
    <x v="5"/>
    <x v="5"/>
    <x v="5"/>
    <x v="6"/>
    <x v="6"/>
    <x v="0"/>
    <x v="0"/>
    <x v="0"/>
    <x v="0"/>
    <x v="0"/>
    <x v="0"/>
    <x v="843"/>
    <x v="840"/>
    <x v="6"/>
  </r>
  <r>
    <x v="284"/>
    <x v="5"/>
    <x v="5"/>
    <x v="6"/>
    <x v="5"/>
    <x v="6"/>
    <x v="6"/>
    <x v="0"/>
    <x v="0"/>
    <x v="0"/>
    <x v="0"/>
    <x v="0"/>
    <x v="0"/>
    <x v="844"/>
    <x v="0"/>
    <x v="6"/>
  </r>
  <r>
    <x v="285"/>
    <x v="25"/>
    <x v="28"/>
    <x v="4"/>
    <x v="135"/>
    <x v="18"/>
    <x v="411"/>
    <x v="238"/>
    <x v="274"/>
    <x v="179"/>
    <x v="0"/>
    <x v="0"/>
    <x v="0"/>
    <x v="845"/>
    <x v="841"/>
    <x v="6"/>
  </r>
  <r>
    <x v="285"/>
    <x v="26"/>
    <x v="29"/>
    <x v="4"/>
    <x v="24"/>
    <x v="0"/>
    <x v="412"/>
    <x v="2"/>
    <x v="233"/>
    <x v="180"/>
    <x v="0"/>
    <x v="0"/>
    <x v="0"/>
    <x v="846"/>
    <x v="842"/>
    <x v="14"/>
  </r>
  <r>
    <x v="285"/>
    <x v="5"/>
    <x v="5"/>
    <x v="6"/>
    <x v="5"/>
    <x v="6"/>
    <x v="6"/>
    <x v="0"/>
    <x v="0"/>
    <x v="0"/>
    <x v="0"/>
    <x v="0"/>
    <x v="0"/>
    <x v="847"/>
    <x v="843"/>
    <x v="6"/>
  </r>
  <r>
    <x v="285"/>
    <x v="5"/>
    <x v="5"/>
    <x v="6"/>
    <x v="5"/>
    <x v="6"/>
    <x v="6"/>
    <x v="0"/>
    <x v="0"/>
    <x v="0"/>
    <x v="0"/>
    <x v="0"/>
    <x v="0"/>
    <x v="848"/>
    <x v="844"/>
    <x v="6"/>
  </r>
  <r>
    <x v="285"/>
    <x v="5"/>
    <x v="5"/>
    <x v="5"/>
    <x v="5"/>
    <x v="6"/>
    <x v="6"/>
    <x v="0"/>
    <x v="0"/>
    <x v="0"/>
    <x v="0"/>
    <x v="0"/>
    <x v="0"/>
    <x v="849"/>
    <x v="845"/>
    <x v="6"/>
  </r>
  <r>
    <x v="285"/>
    <x v="5"/>
    <x v="5"/>
    <x v="5"/>
    <x v="5"/>
    <x v="6"/>
    <x v="6"/>
    <x v="0"/>
    <x v="0"/>
    <x v="0"/>
    <x v="0"/>
    <x v="0"/>
    <x v="0"/>
    <x v="850"/>
    <x v="846"/>
    <x v="6"/>
  </r>
  <r>
    <x v="285"/>
    <x v="5"/>
    <x v="5"/>
    <x v="6"/>
    <x v="5"/>
    <x v="6"/>
    <x v="6"/>
    <x v="0"/>
    <x v="0"/>
    <x v="0"/>
    <x v="0"/>
    <x v="0"/>
    <x v="0"/>
    <x v="851"/>
    <x v="847"/>
    <x v="6"/>
  </r>
  <r>
    <x v="285"/>
    <x v="5"/>
    <x v="5"/>
    <x v="5"/>
    <x v="5"/>
    <x v="6"/>
    <x v="6"/>
    <x v="0"/>
    <x v="0"/>
    <x v="0"/>
    <x v="0"/>
    <x v="0"/>
    <x v="0"/>
    <x v="852"/>
    <x v="848"/>
    <x v="6"/>
  </r>
  <r>
    <x v="285"/>
    <x v="5"/>
    <x v="5"/>
    <x v="6"/>
    <x v="5"/>
    <x v="6"/>
    <x v="6"/>
    <x v="0"/>
    <x v="0"/>
    <x v="0"/>
    <x v="0"/>
    <x v="0"/>
    <x v="0"/>
    <x v="853"/>
    <x v="849"/>
    <x v="6"/>
  </r>
  <r>
    <x v="285"/>
    <x v="5"/>
    <x v="5"/>
    <x v="6"/>
    <x v="5"/>
    <x v="6"/>
    <x v="6"/>
    <x v="0"/>
    <x v="0"/>
    <x v="0"/>
    <x v="0"/>
    <x v="0"/>
    <x v="0"/>
    <x v="854"/>
    <x v="850"/>
    <x v="6"/>
  </r>
  <r>
    <x v="285"/>
    <x v="5"/>
    <x v="5"/>
    <x v="5"/>
    <x v="5"/>
    <x v="6"/>
    <x v="6"/>
    <x v="0"/>
    <x v="0"/>
    <x v="0"/>
    <x v="0"/>
    <x v="0"/>
    <x v="0"/>
    <x v="855"/>
    <x v="851"/>
    <x v="6"/>
  </r>
  <r>
    <x v="285"/>
    <x v="5"/>
    <x v="5"/>
    <x v="5"/>
    <x v="5"/>
    <x v="6"/>
    <x v="6"/>
    <x v="0"/>
    <x v="0"/>
    <x v="0"/>
    <x v="0"/>
    <x v="0"/>
    <x v="0"/>
    <x v="839"/>
    <x v="852"/>
    <x v="6"/>
  </r>
  <r>
    <x v="285"/>
    <x v="5"/>
    <x v="5"/>
    <x v="6"/>
    <x v="5"/>
    <x v="6"/>
    <x v="6"/>
    <x v="0"/>
    <x v="0"/>
    <x v="0"/>
    <x v="0"/>
    <x v="0"/>
    <x v="0"/>
    <x v="856"/>
    <x v="853"/>
    <x v="6"/>
  </r>
  <r>
    <x v="286"/>
    <x v="26"/>
    <x v="29"/>
    <x v="16"/>
    <x v="5"/>
    <x v="6"/>
    <x v="6"/>
    <x v="0"/>
    <x v="0"/>
    <x v="0"/>
    <x v="0"/>
    <x v="0"/>
    <x v="0"/>
    <x v="240"/>
    <x v="854"/>
    <x v="6"/>
  </r>
  <r>
    <x v="287"/>
    <x v="29"/>
    <x v="33"/>
    <x v="1"/>
    <x v="393"/>
    <x v="2"/>
    <x v="131"/>
    <x v="239"/>
    <x v="275"/>
    <x v="0"/>
    <x v="0"/>
    <x v="0"/>
    <x v="0"/>
    <x v="857"/>
    <x v="855"/>
    <x v="2"/>
  </r>
  <r>
    <x v="287"/>
    <x v="5"/>
    <x v="5"/>
    <x v="2"/>
    <x v="5"/>
    <x v="6"/>
    <x v="6"/>
    <x v="0"/>
    <x v="0"/>
    <x v="0"/>
    <x v="0"/>
    <x v="0"/>
    <x v="0"/>
    <x v="858"/>
    <x v="854"/>
    <x v="6"/>
  </r>
  <r>
    <x v="288"/>
    <x v="28"/>
    <x v="32"/>
    <x v="1"/>
    <x v="394"/>
    <x v="5"/>
    <x v="413"/>
    <x v="2"/>
    <x v="276"/>
    <x v="0"/>
    <x v="0"/>
    <x v="0"/>
    <x v="0"/>
    <x v="859"/>
    <x v="856"/>
    <x v="10"/>
  </r>
  <r>
    <x v="288"/>
    <x v="5"/>
    <x v="5"/>
    <x v="2"/>
    <x v="5"/>
    <x v="6"/>
    <x v="6"/>
    <x v="0"/>
    <x v="0"/>
    <x v="0"/>
    <x v="0"/>
    <x v="0"/>
    <x v="0"/>
    <x v="860"/>
    <x v="854"/>
    <x v="6"/>
  </r>
  <r>
    <x v="288"/>
    <x v="5"/>
    <x v="5"/>
    <x v="6"/>
    <x v="5"/>
    <x v="6"/>
    <x v="6"/>
    <x v="0"/>
    <x v="0"/>
    <x v="0"/>
    <x v="0"/>
    <x v="0"/>
    <x v="0"/>
    <x v="861"/>
    <x v="857"/>
    <x v="6"/>
  </r>
  <r>
    <x v="289"/>
    <x v="5"/>
    <x v="5"/>
    <x v="13"/>
    <x v="5"/>
    <x v="6"/>
    <x v="6"/>
    <x v="0"/>
    <x v="0"/>
    <x v="0"/>
    <x v="0"/>
    <x v="0"/>
    <x v="0"/>
    <x v="862"/>
    <x v="858"/>
    <x v="6"/>
  </r>
  <r>
    <x v="289"/>
    <x v="28"/>
    <x v="32"/>
    <x v="4"/>
    <x v="9"/>
    <x v="5"/>
    <x v="414"/>
    <x v="2"/>
    <x v="66"/>
    <x v="175"/>
    <x v="0"/>
    <x v="0"/>
    <x v="0"/>
    <x v="863"/>
    <x v="859"/>
    <x v="5"/>
  </r>
  <r>
    <x v="289"/>
    <x v="29"/>
    <x v="33"/>
    <x v="4"/>
    <x v="51"/>
    <x v="2"/>
    <x v="415"/>
    <x v="240"/>
    <x v="277"/>
    <x v="181"/>
    <x v="0"/>
    <x v="0"/>
    <x v="0"/>
    <x v="864"/>
    <x v="860"/>
    <x v="6"/>
  </r>
  <r>
    <x v="289"/>
    <x v="30"/>
    <x v="34"/>
    <x v="10"/>
    <x v="395"/>
    <x v="7"/>
    <x v="416"/>
    <x v="2"/>
    <x v="37"/>
    <x v="0"/>
    <x v="21"/>
    <x v="0"/>
    <x v="0"/>
    <x v="865"/>
    <x v="861"/>
    <x v="10"/>
  </r>
  <r>
    <x v="289"/>
    <x v="5"/>
    <x v="5"/>
    <x v="5"/>
    <x v="5"/>
    <x v="6"/>
    <x v="6"/>
    <x v="0"/>
    <x v="0"/>
    <x v="0"/>
    <x v="0"/>
    <x v="0"/>
    <x v="0"/>
    <x v="866"/>
    <x v="862"/>
    <x v="6"/>
  </r>
  <r>
    <x v="289"/>
    <x v="5"/>
    <x v="5"/>
    <x v="6"/>
    <x v="5"/>
    <x v="6"/>
    <x v="6"/>
    <x v="0"/>
    <x v="0"/>
    <x v="0"/>
    <x v="0"/>
    <x v="0"/>
    <x v="0"/>
    <x v="867"/>
    <x v="863"/>
    <x v="6"/>
  </r>
  <r>
    <x v="289"/>
    <x v="5"/>
    <x v="5"/>
    <x v="5"/>
    <x v="5"/>
    <x v="6"/>
    <x v="6"/>
    <x v="0"/>
    <x v="0"/>
    <x v="0"/>
    <x v="0"/>
    <x v="0"/>
    <x v="0"/>
    <x v="868"/>
    <x v="864"/>
    <x v="6"/>
  </r>
  <r>
    <x v="289"/>
    <x v="5"/>
    <x v="5"/>
    <x v="5"/>
    <x v="5"/>
    <x v="6"/>
    <x v="6"/>
    <x v="0"/>
    <x v="0"/>
    <x v="0"/>
    <x v="0"/>
    <x v="0"/>
    <x v="0"/>
    <x v="857"/>
    <x v="865"/>
    <x v="6"/>
  </r>
  <r>
    <x v="289"/>
    <x v="5"/>
    <x v="5"/>
    <x v="6"/>
    <x v="5"/>
    <x v="6"/>
    <x v="6"/>
    <x v="0"/>
    <x v="0"/>
    <x v="0"/>
    <x v="0"/>
    <x v="0"/>
    <x v="0"/>
    <x v="869"/>
    <x v="866"/>
    <x v="6"/>
  </r>
  <r>
    <x v="290"/>
    <x v="28"/>
    <x v="32"/>
    <x v="1"/>
    <x v="396"/>
    <x v="5"/>
    <x v="417"/>
    <x v="2"/>
    <x v="278"/>
    <x v="0"/>
    <x v="0"/>
    <x v="0"/>
    <x v="0"/>
    <x v="870"/>
    <x v="867"/>
    <x v="10"/>
  </r>
  <r>
    <x v="290"/>
    <x v="5"/>
    <x v="5"/>
    <x v="2"/>
    <x v="5"/>
    <x v="6"/>
    <x v="6"/>
    <x v="0"/>
    <x v="0"/>
    <x v="0"/>
    <x v="0"/>
    <x v="0"/>
    <x v="0"/>
    <x v="871"/>
    <x v="866"/>
    <x v="6"/>
  </r>
  <r>
    <x v="291"/>
    <x v="28"/>
    <x v="32"/>
    <x v="4"/>
    <x v="397"/>
    <x v="5"/>
    <x v="418"/>
    <x v="2"/>
    <x v="66"/>
    <x v="182"/>
    <x v="0"/>
    <x v="0"/>
    <x v="0"/>
    <x v="872"/>
    <x v="868"/>
    <x v="5"/>
  </r>
  <r>
    <x v="291"/>
    <x v="5"/>
    <x v="5"/>
    <x v="5"/>
    <x v="5"/>
    <x v="6"/>
    <x v="6"/>
    <x v="0"/>
    <x v="0"/>
    <x v="0"/>
    <x v="0"/>
    <x v="0"/>
    <x v="0"/>
    <x v="873"/>
    <x v="869"/>
    <x v="6"/>
  </r>
  <r>
    <x v="291"/>
    <x v="5"/>
    <x v="5"/>
    <x v="5"/>
    <x v="5"/>
    <x v="6"/>
    <x v="6"/>
    <x v="0"/>
    <x v="0"/>
    <x v="0"/>
    <x v="0"/>
    <x v="0"/>
    <x v="0"/>
    <x v="874"/>
    <x v="870"/>
    <x v="6"/>
  </r>
  <r>
    <x v="291"/>
    <x v="5"/>
    <x v="5"/>
    <x v="6"/>
    <x v="5"/>
    <x v="6"/>
    <x v="6"/>
    <x v="0"/>
    <x v="0"/>
    <x v="0"/>
    <x v="0"/>
    <x v="0"/>
    <x v="0"/>
    <x v="875"/>
    <x v="871"/>
    <x v="6"/>
  </r>
  <r>
    <x v="292"/>
    <x v="30"/>
    <x v="34"/>
    <x v="4"/>
    <x v="398"/>
    <x v="7"/>
    <x v="419"/>
    <x v="2"/>
    <x v="38"/>
    <x v="183"/>
    <x v="21"/>
    <x v="0"/>
    <x v="0"/>
    <x v="876"/>
    <x v="872"/>
    <x v="6"/>
  </r>
  <r>
    <x v="293"/>
    <x v="25"/>
    <x v="28"/>
    <x v="1"/>
    <x v="399"/>
    <x v="31"/>
    <x v="420"/>
    <x v="241"/>
    <x v="279"/>
    <x v="0"/>
    <x v="0"/>
    <x v="0"/>
    <x v="0"/>
    <x v="877"/>
    <x v="873"/>
    <x v="16"/>
  </r>
  <r>
    <x v="293"/>
    <x v="26"/>
    <x v="29"/>
    <x v="10"/>
    <x v="400"/>
    <x v="8"/>
    <x v="421"/>
    <x v="242"/>
    <x v="280"/>
    <x v="0"/>
    <x v="0"/>
    <x v="0"/>
    <x v="0"/>
    <x v="878"/>
    <x v="874"/>
    <x v="51"/>
  </r>
  <r>
    <x v="293"/>
    <x v="5"/>
    <x v="5"/>
    <x v="2"/>
    <x v="5"/>
    <x v="6"/>
    <x v="6"/>
    <x v="0"/>
    <x v="0"/>
    <x v="0"/>
    <x v="0"/>
    <x v="0"/>
    <x v="0"/>
    <x v="879"/>
    <x v="875"/>
    <x v="6"/>
  </r>
  <r>
    <x v="294"/>
    <x v="25"/>
    <x v="28"/>
    <x v="1"/>
    <x v="401"/>
    <x v="31"/>
    <x v="422"/>
    <x v="243"/>
    <x v="281"/>
    <x v="0"/>
    <x v="0"/>
    <x v="0"/>
    <x v="0"/>
    <x v="880"/>
    <x v="876"/>
    <x v="12"/>
  </r>
  <r>
    <x v="294"/>
    <x v="5"/>
    <x v="5"/>
    <x v="2"/>
    <x v="5"/>
    <x v="6"/>
    <x v="6"/>
    <x v="0"/>
    <x v="0"/>
    <x v="0"/>
    <x v="0"/>
    <x v="0"/>
    <x v="0"/>
    <x v="881"/>
    <x v="875"/>
    <x v="6"/>
  </r>
  <r>
    <x v="295"/>
    <x v="25"/>
    <x v="28"/>
    <x v="4"/>
    <x v="402"/>
    <x v="31"/>
    <x v="128"/>
    <x v="244"/>
    <x v="282"/>
    <x v="184"/>
    <x v="0"/>
    <x v="0"/>
    <x v="0"/>
    <x v="882"/>
    <x v="877"/>
    <x v="16"/>
  </r>
  <r>
    <x v="295"/>
    <x v="28"/>
    <x v="32"/>
    <x v="1"/>
    <x v="403"/>
    <x v="5"/>
    <x v="423"/>
    <x v="2"/>
    <x v="65"/>
    <x v="0"/>
    <x v="0"/>
    <x v="0"/>
    <x v="0"/>
    <x v="883"/>
    <x v="878"/>
    <x v="10"/>
  </r>
  <r>
    <x v="295"/>
    <x v="5"/>
    <x v="5"/>
    <x v="2"/>
    <x v="5"/>
    <x v="6"/>
    <x v="6"/>
    <x v="0"/>
    <x v="0"/>
    <x v="0"/>
    <x v="0"/>
    <x v="0"/>
    <x v="0"/>
    <x v="884"/>
    <x v="877"/>
    <x v="6"/>
  </r>
  <r>
    <x v="295"/>
    <x v="5"/>
    <x v="5"/>
    <x v="5"/>
    <x v="5"/>
    <x v="6"/>
    <x v="6"/>
    <x v="0"/>
    <x v="0"/>
    <x v="0"/>
    <x v="0"/>
    <x v="0"/>
    <x v="0"/>
    <x v="877"/>
    <x v="879"/>
    <x v="6"/>
  </r>
  <r>
    <x v="295"/>
    <x v="5"/>
    <x v="5"/>
    <x v="5"/>
    <x v="5"/>
    <x v="6"/>
    <x v="6"/>
    <x v="0"/>
    <x v="0"/>
    <x v="0"/>
    <x v="0"/>
    <x v="0"/>
    <x v="0"/>
    <x v="885"/>
    <x v="880"/>
    <x v="6"/>
  </r>
  <r>
    <x v="295"/>
    <x v="5"/>
    <x v="5"/>
    <x v="6"/>
    <x v="5"/>
    <x v="6"/>
    <x v="6"/>
    <x v="0"/>
    <x v="0"/>
    <x v="0"/>
    <x v="0"/>
    <x v="0"/>
    <x v="0"/>
    <x v="886"/>
    <x v="881"/>
    <x v="6"/>
  </r>
  <r>
    <x v="296"/>
    <x v="29"/>
    <x v="33"/>
    <x v="1"/>
    <x v="404"/>
    <x v="2"/>
    <x v="424"/>
    <x v="245"/>
    <x v="119"/>
    <x v="0"/>
    <x v="0"/>
    <x v="0"/>
    <x v="0"/>
    <x v="887"/>
    <x v="882"/>
    <x v="2"/>
  </r>
  <r>
    <x v="296"/>
    <x v="28"/>
    <x v="32"/>
    <x v="4"/>
    <x v="405"/>
    <x v="7"/>
    <x v="425"/>
    <x v="159"/>
    <x v="70"/>
    <x v="185"/>
    <x v="0"/>
    <x v="0"/>
    <x v="0"/>
    <x v="888"/>
    <x v="883"/>
    <x v="6"/>
  </r>
  <r>
    <x v="296"/>
    <x v="31"/>
    <x v="35"/>
    <x v="1"/>
    <x v="406"/>
    <x v="8"/>
    <x v="426"/>
    <x v="147"/>
    <x v="283"/>
    <x v="0"/>
    <x v="0"/>
    <x v="0"/>
    <x v="0"/>
    <x v="889"/>
    <x v="884"/>
    <x v="8"/>
  </r>
  <r>
    <x v="296"/>
    <x v="5"/>
    <x v="5"/>
    <x v="2"/>
    <x v="5"/>
    <x v="6"/>
    <x v="6"/>
    <x v="0"/>
    <x v="0"/>
    <x v="0"/>
    <x v="0"/>
    <x v="0"/>
    <x v="0"/>
    <x v="890"/>
    <x v="885"/>
    <x v="6"/>
  </r>
  <r>
    <x v="296"/>
    <x v="5"/>
    <x v="5"/>
    <x v="2"/>
    <x v="5"/>
    <x v="6"/>
    <x v="6"/>
    <x v="0"/>
    <x v="0"/>
    <x v="0"/>
    <x v="0"/>
    <x v="0"/>
    <x v="0"/>
    <x v="891"/>
    <x v="886"/>
    <x v="6"/>
  </r>
  <r>
    <x v="296"/>
    <x v="5"/>
    <x v="5"/>
    <x v="5"/>
    <x v="5"/>
    <x v="6"/>
    <x v="6"/>
    <x v="0"/>
    <x v="0"/>
    <x v="0"/>
    <x v="0"/>
    <x v="0"/>
    <x v="0"/>
    <x v="892"/>
    <x v="887"/>
    <x v="6"/>
  </r>
  <r>
    <x v="296"/>
    <x v="5"/>
    <x v="5"/>
    <x v="5"/>
    <x v="5"/>
    <x v="6"/>
    <x v="6"/>
    <x v="0"/>
    <x v="0"/>
    <x v="0"/>
    <x v="0"/>
    <x v="0"/>
    <x v="0"/>
    <x v="870"/>
    <x v="888"/>
    <x v="6"/>
  </r>
  <r>
    <x v="296"/>
    <x v="5"/>
    <x v="5"/>
    <x v="5"/>
    <x v="5"/>
    <x v="6"/>
    <x v="6"/>
    <x v="0"/>
    <x v="0"/>
    <x v="0"/>
    <x v="0"/>
    <x v="0"/>
    <x v="0"/>
    <x v="883"/>
    <x v="889"/>
    <x v="6"/>
  </r>
  <r>
    <x v="296"/>
    <x v="5"/>
    <x v="5"/>
    <x v="6"/>
    <x v="5"/>
    <x v="6"/>
    <x v="6"/>
    <x v="0"/>
    <x v="0"/>
    <x v="0"/>
    <x v="0"/>
    <x v="0"/>
    <x v="0"/>
    <x v="893"/>
    <x v="890"/>
    <x v="6"/>
  </r>
  <r>
    <x v="296"/>
    <x v="5"/>
    <x v="5"/>
    <x v="6"/>
    <x v="5"/>
    <x v="6"/>
    <x v="6"/>
    <x v="0"/>
    <x v="0"/>
    <x v="0"/>
    <x v="0"/>
    <x v="0"/>
    <x v="0"/>
    <x v="894"/>
    <x v="891"/>
    <x v="6"/>
  </r>
  <r>
    <x v="296"/>
    <x v="5"/>
    <x v="5"/>
    <x v="6"/>
    <x v="5"/>
    <x v="6"/>
    <x v="6"/>
    <x v="0"/>
    <x v="0"/>
    <x v="0"/>
    <x v="0"/>
    <x v="0"/>
    <x v="0"/>
    <x v="895"/>
    <x v="892"/>
    <x v="6"/>
  </r>
  <r>
    <x v="297"/>
    <x v="25"/>
    <x v="28"/>
    <x v="1"/>
    <x v="407"/>
    <x v="31"/>
    <x v="427"/>
    <x v="246"/>
    <x v="284"/>
    <x v="0"/>
    <x v="0"/>
    <x v="0"/>
    <x v="0"/>
    <x v="896"/>
    <x v="893"/>
    <x v="12"/>
  </r>
  <r>
    <x v="297"/>
    <x v="5"/>
    <x v="5"/>
    <x v="2"/>
    <x v="5"/>
    <x v="6"/>
    <x v="6"/>
    <x v="0"/>
    <x v="0"/>
    <x v="0"/>
    <x v="0"/>
    <x v="0"/>
    <x v="0"/>
    <x v="897"/>
    <x v="892"/>
    <x v="6"/>
  </r>
  <r>
    <x v="298"/>
    <x v="5"/>
    <x v="5"/>
    <x v="6"/>
    <x v="5"/>
    <x v="6"/>
    <x v="6"/>
    <x v="0"/>
    <x v="0"/>
    <x v="0"/>
    <x v="0"/>
    <x v="0"/>
    <x v="0"/>
    <x v="898"/>
    <x v="894"/>
    <x v="6"/>
  </r>
  <r>
    <x v="298"/>
    <x v="5"/>
    <x v="5"/>
    <x v="6"/>
    <x v="5"/>
    <x v="6"/>
    <x v="6"/>
    <x v="0"/>
    <x v="0"/>
    <x v="0"/>
    <x v="0"/>
    <x v="0"/>
    <x v="0"/>
    <x v="899"/>
    <x v="895"/>
    <x v="6"/>
  </r>
  <r>
    <x v="298"/>
    <x v="5"/>
    <x v="5"/>
    <x v="6"/>
    <x v="5"/>
    <x v="6"/>
    <x v="6"/>
    <x v="0"/>
    <x v="0"/>
    <x v="0"/>
    <x v="0"/>
    <x v="0"/>
    <x v="0"/>
    <x v="900"/>
    <x v="896"/>
    <x v="6"/>
  </r>
  <r>
    <x v="298"/>
    <x v="5"/>
    <x v="5"/>
    <x v="6"/>
    <x v="5"/>
    <x v="6"/>
    <x v="6"/>
    <x v="0"/>
    <x v="0"/>
    <x v="0"/>
    <x v="0"/>
    <x v="0"/>
    <x v="0"/>
    <x v="901"/>
    <x v="897"/>
    <x v="6"/>
  </r>
  <r>
    <x v="298"/>
    <x v="5"/>
    <x v="5"/>
    <x v="6"/>
    <x v="5"/>
    <x v="6"/>
    <x v="6"/>
    <x v="0"/>
    <x v="0"/>
    <x v="0"/>
    <x v="0"/>
    <x v="0"/>
    <x v="0"/>
    <x v="902"/>
    <x v="898"/>
    <x v="6"/>
  </r>
  <r>
    <x v="299"/>
    <x v="25"/>
    <x v="28"/>
    <x v="4"/>
    <x v="408"/>
    <x v="31"/>
    <x v="428"/>
    <x v="51"/>
    <x v="285"/>
    <x v="186"/>
    <x v="0"/>
    <x v="0"/>
    <x v="0"/>
    <x v="903"/>
    <x v="899"/>
    <x v="16"/>
  </r>
  <r>
    <x v="299"/>
    <x v="5"/>
    <x v="5"/>
    <x v="5"/>
    <x v="5"/>
    <x v="6"/>
    <x v="6"/>
    <x v="0"/>
    <x v="0"/>
    <x v="0"/>
    <x v="0"/>
    <x v="0"/>
    <x v="0"/>
    <x v="904"/>
    <x v="900"/>
    <x v="6"/>
  </r>
  <r>
    <x v="299"/>
    <x v="5"/>
    <x v="5"/>
    <x v="5"/>
    <x v="5"/>
    <x v="6"/>
    <x v="6"/>
    <x v="0"/>
    <x v="0"/>
    <x v="0"/>
    <x v="0"/>
    <x v="0"/>
    <x v="0"/>
    <x v="905"/>
    <x v="901"/>
    <x v="6"/>
  </r>
  <r>
    <x v="299"/>
    <x v="5"/>
    <x v="5"/>
    <x v="6"/>
    <x v="5"/>
    <x v="6"/>
    <x v="6"/>
    <x v="0"/>
    <x v="0"/>
    <x v="0"/>
    <x v="0"/>
    <x v="0"/>
    <x v="0"/>
    <x v="906"/>
    <x v="902"/>
    <x v="6"/>
  </r>
  <r>
    <x v="300"/>
    <x v="25"/>
    <x v="28"/>
    <x v="1"/>
    <x v="409"/>
    <x v="31"/>
    <x v="429"/>
    <x v="247"/>
    <x v="286"/>
    <x v="0"/>
    <x v="0"/>
    <x v="0"/>
    <x v="0"/>
    <x v="907"/>
    <x v="903"/>
    <x v="12"/>
  </r>
  <r>
    <x v="300"/>
    <x v="5"/>
    <x v="5"/>
    <x v="2"/>
    <x v="5"/>
    <x v="6"/>
    <x v="6"/>
    <x v="0"/>
    <x v="0"/>
    <x v="0"/>
    <x v="0"/>
    <x v="0"/>
    <x v="0"/>
    <x v="908"/>
    <x v="902"/>
    <x v="6"/>
  </r>
  <r>
    <x v="301"/>
    <x v="26"/>
    <x v="29"/>
    <x v="4"/>
    <x v="410"/>
    <x v="8"/>
    <x v="430"/>
    <x v="26"/>
    <x v="272"/>
    <x v="187"/>
    <x v="0"/>
    <x v="0"/>
    <x v="0"/>
    <x v="909"/>
    <x v="904"/>
    <x v="14"/>
  </r>
  <r>
    <x v="301"/>
    <x v="26"/>
    <x v="29"/>
    <x v="4"/>
    <x v="411"/>
    <x v="8"/>
    <x v="431"/>
    <x v="248"/>
    <x v="287"/>
    <x v="188"/>
    <x v="0"/>
    <x v="0"/>
    <x v="0"/>
    <x v="910"/>
    <x v="905"/>
    <x v="8"/>
  </r>
  <r>
    <x v="302"/>
    <x v="26"/>
    <x v="29"/>
    <x v="16"/>
    <x v="5"/>
    <x v="6"/>
    <x v="6"/>
    <x v="0"/>
    <x v="0"/>
    <x v="0"/>
    <x v="0"/>
    <x v="0"/>
    <x v="0"/>
    <x v="911"/>
    <x v="906"/>
    <x v="6"/>
  </r>
  <r>
    <x v="302"/>
    <x v="29"/>
    <x v="33"/>
    <x v="4"/>
    <x v="412"/>
    <x v="2"/>
    <x v="432"/>
    <x v="249"/>
    <x v="31"/>
    <x v="189"/>
    <x v="0"/>
    <x v="0"/>
    <x v="0"/>
    <x v="912"/>
    <x v="907"/>
    <x v="6"/>
  </r>
  <r>
    <x v="302"/>
    <x v="31"/>
    <x v="35"/>
    <x v="1"/>
    <x v="413"/>
    <x v="8"/>
    <x v="49"/>
    <x v="250"/>
    <x v="55"/>
    <x v="0"/>
    <x v="0"/>
    <x v="0"/>
    <x v="0"/>
    <x v="913"/>
    <x v="908"/>
    <x v="14"/>
  </r>
  <r>
    <x v="302"/>
    <x v="28"/>
    <x v="32"/>
    <x v="1"/>
    <x v="414"/>
    <x v="7"/>
    <x v="433"/>
    <x v="251"/>
    <x v="288"/>
    <x v="0"/>
    <x v="0"/>
    <x v="0"/>
    <x v="0"/>
    <x v="914"/>
    <x v="909"/>
    <x v="10"/>
  </r>
  <r>
    <x v="302"/>
    <x v="5"/>
    <x v="5"/>
    <x v="2"/>
    <x v="5"/>
    <x v="6"/>
    <x v="6"/>
    <x v="0"/>
    <x v="0"/>
    <x v="0"/>
    <x v="0"/>
    <x v="0"/>
    <x v="0"/>
    <x v="915"/>
    <x v="910"/>
    <x v="6"/>
  </r>
  <r>
    <x v="302"/>
    <x v="5"/>
    <x v="5"/>
    <x v="2"/>
    <x v="5"/>
    <x v="6"/>
    <x v="6"/>
    <x v="0"/>
    <x v="0"/>
    <x v="0"/>
    <x v="0"/>
    <x v="0"/>
    <x v="0"/>
    <x v="916"/>
    <x v="907"/>
    <x v="6"/>
  </r>
  <r>
    <x v="302"/>
    <x v="5"/>
    <x v="5"/>
    <x v="5"/>
    <x v="5"/>
    <x v="6"/>
    <x v="6"/>
    <x v="0"/>
    <x v="0"/>
    <x v="0"/>
    <x v="0"/>
    <x v="0"/>
    <x v="0"/>
    <x v="917"/>
    <x v="911"/>
    <x v="6"/>
  </r>
  <r>
    <x v="303"/>
    <x v="25"/>
    <x v="28"/>
    <x v="1"/>
    <x v="415"/>
    <x v="31"/>
    <x v="434"/>
    <x v="252"/>
    <x v="153"/>
    <x v="0"/>
    <x v="0"/>
    <x v="0"/>
    <x v="0"/>
    <x v="918"/>
    <x v="912"/>
    <x v="75"/>
  </r>
  <r>
    <x v="303"/>
    <x v="25"/>
    <x v="28"/>
    <x v="4"/>
    <x v="401"/>
    <x v="18"/>
    <x v="435"/>
    <x v="140"/>
    <x v="289"/>
    <x v="190"/>
    <x v="0"/>
    <x v="0"/>
    <x v="0"/>
    <x v="919"/>
    <x v="913"/>
    <x v="16"/>
  </r>
  <r>
    <x v="303"/>
    <x v="26"/>
    <x v="29"/>
    <x v="4"/>
    <x v="196"/>
    <x v="8"/>
    <x v="436"/>
    <x v="253"/>
    <x v="290"/>
    <x v="191"/>
    <x v="0"/>
    <x v="0"/>
    <x v="0"/>
    <x v="920"/>
    <x v="914"/>
    <x v="6"/>
  </r>
  <r>
    <x v="303"/>
    <x v="25"/>
    <x v="28"/>
    <x v="1"/>
    <x v="416"/>
    <x v="31"/>
    <x v="437"/>
    <x v="254"/>
    <x v="41"/>
    <x v="0"/>
    <x v="0"/>
    <x v="0"/>
    <x v="0"/>
    <x v="921"/>
    <x v="915"/>
    <x v="12"/>
  </r>
  <r>
    <x v="303"/>
    <x v="5"/>
    <x v="5"/>
    <x v="2"/>
    <x v="5"/>
    <x v="6"/>
    <x v="6"/>
    <x v="0"/>
    <x v="0"/>
    <x v="0"/>
    <x v="0"/>
    <x v="0"/>
    <x v="0"/>
    <x v="922"/>
    <x v="916"/>
    <x v="6"/>
  </r>
  <r>
    <x v="303"/>
    <x v="5"/>
    <x v="5"/>
    <x v="2"/>
    <x v="5"/>
    <x v="6"/>
    <x v="6"/>
    <x v="0"/>
    <x v="0"/>
    <x v="0"/>
    <x v="0"/>
    <x v="0"/>
    <x v="0"/>
    <x v="923"/>
    <x v="917"/>
    <x v="6"/>
  </r>
  <r>
    <x v="303"/>
    <x v="5"/>
    <x v="5"/>
    <x v="5"/>
    <x v="5"/>
    <x v="6"/>
    <x v="6"/>
    <x v="0"/>
    <x v="0"/>
    <x v="0"/>
    <x v="0"/>
    <x v="0"/>
    <x v="0"/>
    <x v="924"/>
    <x v="918"/>
    <x v="6"/>
  </r>
  <r>
    <x v="303"/>
    <x v="5"/>
    <x v="5"/>
    <x v="5"/>
    <x v="5"/>
    <x v="6"/>
    <x v="6"/>
    <x v="0"/>
    <x v="0"/>
    <x v="0"/>
    <x v="0"/>
    <x v="0"/>
    <x v="0"/>
    <x v="925"/>
    <x v="919"/>
    <x v="6"/>
  </r>
  <r>
    <x v="303"/>
    <x v="5"/>
    <x v="5"/>
    <x v="6"/>
    <x v="5"/>
    <x v="6"/>
    <x v="6"/>
    <x v="0"/>
    <x v="0"/>
    <x v="0"/>
    <x v="0"/>
    <x v="0"/>
    <x v="0"/>
    <x v="926"/>
    <x v="920"/>
    <x v="6"/>
  </r>
  <r>
    <x v="304"/>
    <x v="26"/>
    <x v="29"/>
    <x v="10"/>
    <x v="417"/>
    <x v="8"/>
    <x v="438"/>
    <x v="255"/>
    <x v="291"/>
    <x v="0"/>
    <x v="0"/>
    <x v="0"/>
    <x v="0"/>
    <x v="927"/>
    <x v="921"/>
    <x v="8"/>
  </r>
  <r>
    <x v="304"/>
    <x v="25"/>
    <x v="28"/>
    <x v="4"/>
    <x v="418"/>
    <x v="31"/>
    <x v="439"/>
    <x v="256"/>
    <x v="292"/>
    <x v="192"/>
    <x v="0"/>
    <x v="0"/>
    <x v="0"/>
    <x v="928"/>
    <x v="922"/>
    <x v="16"/>
  </r>
  <r>
    <x v="304"/>
    <x v="28"/>
    <x v="32"/>
    <x v="10"/>
    <x v="419"/>
    <x v="7"/>
    <x v="440"/>
    <x v="210"/>
    <x v="235"/>
    <x v="0"/>
    <x v="0"/>
    <x v="0"/>
    <x v="0"/>
    <x v="929"/>
    <x v="923"/>
    <x v="2"/>
  </r>
  <r>
    <x v="304"/>
    <x v="5"/>
    <x v="5"/>
    <x v="5"/>
    <x v="5"/>
    <x v="6"/>
    <x v="6"/>
    <x v="0"/>
    <x v="0"/>
    <x v="0"/>
    <x v="0"/>
    <x v="0"/>
    <x v="0"/>
    <x v="930"/>
    <x v="924"/>
    <x v="6"/>
  </r>
  <r>
    <x v="304"/>
    <x v="5"/>
    <x v="5"/>
    <x v="5"/>
    <x v="5"/>
    <x v="6"/>
    <x v="6"/>
    <x v="0"/>
    <x v="0"/>
    <x v="0"/>
    <x v="0"/>
    <x v="0"/>
    <x v="0"/>
    <x v="931"/>
    <x v="925"/>
    <x v="6"/>
  </r>
  <r>
    <x v="304"/>
    <x v="5"/>
    <x v="5"/>
    <x v="6"/>
    <x v="5"/>
    <x v="6"/>
    <x v="6"/>
    <x v="0"/>
    <x v="0"/>
    <x v="0"/>
    <x v="0"/>
    <x v="0"/>
    <x v="0"/>
    <x v="932"/>
    <x v="926"/>
    <x v="6"/>
  </r>
  <r>
    <x v="305"/>
    <x v="28"/>
    <x v="32"/>
    <x v="4"/>
    <x v="271"/>
    <x v="7"/>
    <x v="280"/>
    <x v="176"/>
    <x v="45"/>
    <x v="193"/>
    <x v="0"/>
    <x v="0"/>
    <x v="0"/>
    <x v="933"/>
    <x v="927"/>
    <x v="10"/>
  </r>
  <r>
    <x v="305"/>
    <x v="5"/>
    <x v="5"/>
    <x v="5"/>
    <x v="5"/>
    <x v="6"/>
    <x v="6"/>
    <x v="0"/>
    <x v="0"/>
    <x v="0"/>
    <x v="0"/>
    <x v="0"/>
    <x v="0"/>
    <x v="934"/>
    <x v="928"/>
    <x v="6"/>
  </r>
  <r>
    <x v="306"/>
    <x v="28"/>
    <x v="32"/>
    <x v="10"/>
    <x v="420"/>
    <x v="7"/>
    <x v="441"/>
    <x v="257"/>
    <x v="264"/>
    <x v="0"/>
    <x v="0"/>
    <x v="0"/>
    <x v="0"/>
    <x v="935"/>
    <x v="929"/>
    <x v="2"/>
  </r>
  <r>
    <x v="306"/>
    <x v="28"/>
    <x v="32"/>
    <x v="4"/>
    <x v="421"/>
    <x v="7"/>
    <x v="442"/>
    <x v="175"/>
    <x v="131"/>
    <x v="194"/>
    <x v="0"/>
    <x v="0"/>
    <x v="0"/>
    <x v="936"/>
    <x v="930"/>
    <x v="10"/>
  </r>
  <r>
    <x v="306"/>
    <x v="5"/>
    <x v="5"/>
    <x v="5"/>
    <x v="5"/>
    <x v="6"/>
    <x v="6"/>
    <x v="0"/>
    <x v="0"/>
    <x v="0"/>
    <x v="0"/>
    <x v="0"/>
    <x v="0"/>
    <x v="937"/>
    <x v="931"/>
    <x v="6"/>
  </r>
  <r>
    <x v="306"/>
    <x v="5"/>
    <x v="5"/>
    <x v="6"/>
    <x v="5"/>
    <x v="6"/>
    <x v="6"/>
    <x v="0"/>
    <x v="0"/>
    <x v="0"/>
    <x v="0"/>
    <x v="0"/>
    <x v="0"/>
    <x v="938"/>
    <x v="932"/>
    <x v="6"/>
  </r>
  <r>
    <x v="307"/>
    <x v="5"/>
    <x v="5"/>
    <x v="12"/>
    <x v="5"/>
    <x v="6"/>
    <x v="6"/>
    <x v="0"/>
    <x v="0"/>
    <x v="0"/>
    <x v="0"/>
    <x v="0"/>
    <x v="0"/>
    <x v="694"/>
    <x v="933"/>
    <x v="6"/>
  </r>
  <r>
    <x v="308"/>
    <x v="5"/>
    <x v="5"/>
    <x v="6"/>
    <x v="5"/>
    <x v="6"/>
    <x v="6"/>
    <x v="0"/>
    <x v="0"/>
    <x v="0"/>
    <x v="0"/>
    <x v="0"/>
    <x v="0"/>
    <x v="939"/>
    <x v="934"/>
    <x v="6"/>
  </r>
  <r>
    <x v="308"/>
    <x v="5"/>
    <x v="5"/>
    <x v="6"/>
    <x v="5"/>
    <x v="6"/>
    <x v="6"/>
    <x v="0"/>
    <x v="0"/>
    <x v="0"/>
    <x v="0"/>
    <x v="0"/>
    <x v="0"/>
    <x v="940"/>
    <x v="935"/>
    <x v="6"/>
  </r>
  <r>
    <x v="308"/>
    <x v="5"/>
    <x v="5"/>
    <x v="6"/>
    <x v="5"/>
    <x v="6"/>
    <x v="6"/>
    <x v="0"/>
    <x v="0"/>
    <x v="0"/>
    <x v="0"/>
    <x v="0"/>
    <x v="0"/>
    <x v="941"/>
    <x v="936"/>
    <x v="6"/>
  </r>
  <r>
    <x v="308"/>
    <x v="5"/>
    <x v="5"/>
    <x v="6"/>
    <x v="5"/>
    <x v="6"/>
    <x v="6"/>
    <x v="0"/>
    <x v="0"/>
    <x v="0"/>
    <x v="0"/>
    <x v="0"/>
    <x v="0"/>
    <x v="942"/>
    <x v="937"/>
    <x v="6"/>
  </r>
  <r>
    <x v="308"/>
    <x v="5"/>
    <x v="5"/>
    <x v="6"/>
    <x v="5"/>
    <x v="6"/>
    <x v="6"/>
    <x v="0"/>
    <x v="0"/>
    <x v="0"/>
    <x v="0"/>
    <x v="0"/>
    <x v="0"/>
    <x v="943"/>
    <x v="938"/>
    <x v="6"/>
  </r>
  <r>
    <x v="308"/>
    <x v="5"/>
    <x v="5"/>
    <x v="6"/>
    <x v="5"/>
    <x v="6"/>
    <x v="6"/>
    <x v="0"/>
    <x v="0"/>
    <x v="0"/>
    <x v="0"/>
    <x v="0"/>
    <x v="0"/>
    <x v="944"/>
    <x v="939"/>
    <x v="6"/>
  </r>
  <r>
    <x v="309"/>
    <x v="31"/>
    <x v="35"/>
    <x v="1"/>
    <x v="422"/>
    <x v="8"/>
    <x v="443"/>
    <x v="258"/>
    <x v="293"/>
    <x v="0"/>
    <x v="0"/>
    <x v="0"/>
    <x v="0"/>
    <x v="945"/>
    <x v="940"/>
    <x v="51"/>
  </r>
  <r>
    <x v="309"/>
    <x v="5"/>
    <x v="5"/>
    <x v="2"/>
    <x v="5"/>
    <x v="6"/>
    <x v="6"/>
    <x v="0"/>
    <x v="0"/>
    <x v="0"/>
    <x v="0"/>
    <x v="0"/>
    <x v="0"/>
    <x v="946"/>
    <x v="939"/>
    <x v="6"/>
  </r>
  <r>
    <x v="310"/>
    <x v="5"/>
    <x v="5"/>
    <x v="13"/>
    <x v="5"/>
    <x v="6"/>
    <x v="6"/>
    <x v="0"/>
    <x v="0"/>
    <x v="0"/>
    <x v="0"/>
    <x v="0"/>
    <x v="0"/>
    <x v="947"/>
    <x v="941"/>
    <x v="6"/>
  </r>
  <r>
    <x v="310"/>
    <x v="5"/>
    <x v="5"/>
    <x v="6"/>
    <x v="5"/>
    <x v="6"/>
    <x v="6"/>
    <x v="0"/>
    <x v="0"/>
    <x v="0"/>
    <x v="0"/>
    <x v="0"/>
    <x v="0"/>
    <x v="948"/>
    <x v="942"/>
    <x v="6"/>
  </r>
  <r>
    <x v="310"/>
    <x v="5"/>
    <x v="5"/>
    <x v="6"/>
    <x v="5"/>
    <x v="6"/>
    <x v="6"/>
    <x v="0"/>
    <x v="0"/>
    <x v="0"/>
    <x v="0"/>
    <x v="0"/>
    <x v="0"/>
    <x v="949"/>
    <x v="943"/>
    <x v="6"/>
  </r>
  <r>
    <x v="310"/>
    <x v="5"/>
    <x v="5"/>
    <x v="6"/>
    <x v="5"/>
    <x v="6"/>
    <x v="6"/>
    <x v="0"/>
    <x v="0"/>
    <x v="0"/>
    <x v="0"/>
    <x v="0"/>
    <x v="0"/>
    <x v="950"/>
    <x v="944"/>
    <x v="6"/>
  </r>
  <r>
    <x v="310"/>
    <x v="5"/>
    <x v="5"/>
    <x v="6"/>
    <x v="5"/>
    <x v="6"/>
    <x v="6"/>
    <x v="0"/>
    <x v="0"/>
    <x v="0"/>
    <x v="0"/>
    <x v="0"/>
    <x v="0"/>
    <x v="951"/>
    <x v="945"/>
    <x v="6"/>
  </r>
  <r>
    <x v="310"/>
    <x v="5"/>
    <x v="5"/>
    <x v="6"/>
    <x v="5"/>
    <x v="6"/>
    <x v="6"/>
    <x v="0"/>
    <x v="0"/>
    <x v="0"/>
    <x v="0"/>
    <x v="0"/>
    <x v="0"/>
    <x v="952"/>
    <x v="946"/>
    <x v="6"/>
  </r>
  <r>
    <x v="310"/>
    <x v="5"/>
    <x v="5"/>
    <x v="6"/>
    <x v="5"/>
    <x v="6"/>
    <x v="6"/>
    <x v="0"/>
    <x v="0"/>
    <x v="0"/>
    <x v="0"/>
    <x v="0"/>
    <x v="0"/>
    <x v="953"/>
    <x v="947"/>
    <x v="6"/>
  </r>
  <r>
    <x v="310"/>
    <x v="5"/>
    <x v="5"/>
    <x v="6"/>
    <x v="5"/>
    <x v="6"/>
    <x v="6"/>
    <x v="0"/>
    <x v="0"/>
    <x v="0"/>
    <x v="0"/>
    <x v="0"/>
    <x v="0"/>
    <x v="954"/>
    <x v="948"/>
    <x v="6"/>
  </r>
  <r>
    <x v="311"/>
    <x v="31"/>
    <x v="35"/>
    <x v="1"/>
    <x v="423"/>
    <x v="8"/>
    <x v="444"/>
    <x v="259"/>
    <x v="12"/>
    <x v="0"/>
    <x v="0"/>
    <x v="0"/>
    <x v="0"/>
    <x v="955"/>
    <x v="949"/>
    <x v="58"/>
  </r>
  <r>
    <x v="311"/>
    <x v="5"/>
    <x v="5"/>
    <x v="2"/>
    <x v="5"/>
    <x v="6"/>
    <x v="6"/>
    <x v="0"/>
    <x v="0"/>
    <x v="0"/>
    <x v="0"/>
    <x v="0"/>
    <x v="0"/>
    <x v="956"/>
    <x v="948"/>
    <x v="6"/>
  </r>
  <r>
    <x v="312"/>
    <x v="25"/>
    <x v="28"/>
    <x v="1"/>
    <x v="27"/>
    <x v="31"/>
    <x v="445"/>
    <x v="260"/>
    <x v="294"/>
    <x v="0"/>
    <x v="0"/>
    <x v="0"/>
    <x v="0"/>
    <x v="957"/>
    <x v="950"/>
    <x v="12"/>
  </r>
  <r>
    <x v="312"/>
    <x v="31"/>
    <x v="35"/>
    <x v="8"/>
    <x v="274"/>
    <x v="8"/>
    <x v="446"/>
    <x v="261"/>
    <x v="295"/>
    <x v="195"/>
    <x v="0"/>
    <x v="0"/>
    <x v="0"/>
    <x v="958"/>
    <x v="951"/>
    <x v="51"/>
  </r>
  <r>
    <x v="312"/>
    <x v="5"/>
    <x v="5"/>
    <x v="2"/>
    <x v="5"/>
    <x v="6"/>
    <x v="6"/>
    <x v="0"/>
    <x v="0"/>
    <x v="0"/>
    <x v="0"/>
    <x v="0"/>
    <x v="0"/>
    <x v="959"/>
    <x v="952"/>
    <x v="6"/>
  </r>
  <r>
    <x v="312"/>
    <x v="5"/>
    <x v="5"/>
    <x v="6"/>
    <x v="5"/>
    <x v="6"/>
    <x v="6"/>
    <x v="0"/>
    <x v="0"/>
    <x v="0"/>
    <x v="0"/>
    <x v="0"/>
    <x v="0"/>
    <x v="960"/>
    <x v="953"/>
    <x v="6"/>
  </r>
  <r>
    <x v="312"/>
    <x v="5"/>
    <x v="5"/>
    <x v="5"/>
    <x v="5"/>
    <x v="6"/>
    <x v="6"/>
    <x v="0"/>
    <x v="0"/>
    <x v="0"/>
    <x v="0"/>
    <x v="0"/>
    <x v="0"/>
    <x v="961"/>
    <x v="954"/>
    <x v="6"/>
  </r>
  <r>
    <x v="313"/>
    <x v="25"/>
    <x v="28"/>
    <x v="8"/>
    <x v="387"/>
    <x v="31"/>
    <x v="447"/>
    <x v="262"/>
    <x v="296"/>
    <x v="196"/>
    <x v="0"/>
    <x v="0"/>
    <x v="0"/>
    <x v="962"/>
    <x v="955"/>
    <x v="16"/>
  </r>
  <r>
    <x v="313"/>
    <x v="31"/>
    <x v="35"/>
    <x v="1"/>
    <x v="424"/>
    <x v="8"/>
    <x v="448"/>
    <x v="263"/>
    <x v="297"/>
    <x v="0"/>
    <x v="0"/>
    <x v="0"/>
    <x v="0"/>
    <x v="963"/>
    <x v="956"/>
    <x v="58"/>
  </r>
  <r>
    <x v="313"/>
    <x v="5"/>
    <x v="5"/>
    <x v="2"/>
    <x v="5"/>
    <x v="6"/>
    <x v="6"/>
    <x v="0"/>
    <x v="0"/>
    <x v="0"/>
    <x v="0"/>
    <x v="0"/>
    <x v="0"/>
    <x v="964"/>
    <x v="955"/>
    <x v="6"/>
  </r>
  <r>
    <x v="313"/>
    <x v="5"/>
    <x v="5"/>
    <x v="6"/>
    <x v="5"/>
    <x v="6"/>
    <x v="6"/>
    <x v="0"/>
    <x v="0"/>
    <x v="0"/>
    <x v="0"/>
    <x v="0"/>
    <x v="0"/>
    <x v="965"/>
    <x v="957"/>
    <x v="6"/>
  </r>
  <r>
    <x v="313"/>
    <x v="5"/>
    <x v="5"/>
    <x v="5"/>
    <x v="5"/>
    <x v="6"/>
    <x v="6"/>
    <x v="0"/>
    <x v="0"/>
    <x v="0"/>
    <x v="0"/>
    <x v="0"/>
    <x v="0"/>
    <x v="966"/>
    <x v="958"/>
    <x v="6"/>
  </r>
  <r>
    <x v="313"/>
    <x v="5"/>
    <x v="5"/>
    <x v="6"/>
    <x v="5"/>
    <x v="6"/>
    <x v="6"/>
    <x v="0"/>
    <x v="0"/>
    <x v="0"/>
    <x v="0"/>
    <x v="0"/>
    <x v="0"/>
    <x v="967"/>
    <x v="959"/>
    <x v="6"/>
  </r>
  <r>
    <x v="313"/>
    <x v="5"/>
    <x v="5"/>
    <x v="5"/>
    <x v="5"/>
    <x v="6"/>
    <x v="6"/>
    <x v="0"/>
    <x v="0"/>
    <x v="0"/>
    <x v="0"/>
    <x v="0"/>
    <x v="0"/>
    <x v="968"/>
    <x v="960"/>
    <x v="6"/>
  </r>
  <r>
    <x v="313"/>
    <x v="5"/>
    <x v="5"/>
    <x v="6"/>
    <x v="5"/>
    <x v="6"/>
    <x v="6"/>
    <x v="0"/>
    <x v="0"/>
    <x v="0"/>
    <x v="0"/>
    <x v="0"/>
    <x v="0"/>
    <x v="969"/>
    <x v="961"/>
    <x v="6"/>
  </r>
  <r>
    <x v="313"/>
    <x v="5"/>
    <x v="5"/>
    <x v="5"/>
    <x v="5"/>
    <x v="6"/>
    <x v="6"/>
    <x v="0"/>
    <x v="0"/>
    <x v="0"/>
    <x v="0"/>
    <x v="0"/>
    <x v="0"/>
    <x v="970"/>
    <x v="962"/>
    <x v="6"/>
  </r>
  <r>
    <x v="314"/>
    <x v="5"/>
    <x v="5"/>
    <x v="6"/>
    <x v="5"/>
    <x v="6"/>
    <x v="6"/>
    <x v="0"/>
    <x v="0"/>
    <x v="0"/>
    <x v="0"/>
    <x v="0"/>
    <x v="0"/>
    <x v="971"/>
    <x v="963"/>
    <x v="6"/>
  </r>
  <r>
    <x v="314"/>
    <x v="5"/>
    <x v="5"/>
    <x v="6"/>
    <x v="5"/>
    <x v="6"/>
    <x v="6"/>
    <x v="0"/>
    <x v="0"/>
    <x v="0"/>
    <x v="0"/>
    <x v="0"/>
    <x v="0"/>
    <x v="972"/>
    <x v="964"/>
    <x v="6"/>
  </r>
  <r>
    <x v="314"/>
    <x v="5"/>
    <x v="5"/>
    <x v="6"/>
    <x v="5"/>
    <x v="6"/>
    <x v="6"/>
    <x v="0"/>
    <x v="0"/>
    <x v="0"/>
    <x v="0"/>
    <x v="0"/>
    <x v="0"/>
    <x v="952"/>
    <x v="965"/>
    <x v="6"/>
  </r>
  <r>
    <x v="314"/>
    <x v="5"/>
    <x v="5"/>
    <x v="6"/>
    <x v="5"/>
    <x v="6"/>
    <x v="6"/>
    <x v="0"/>
    <x v="0"/>
    <x v="0"/>
    <x v="0"/>
    <x v="0"/>
    <x v="0"/>
    <x v="953"/>
    <x v="966"/>
    <x v="6"/>
  </r>
  <r>
    <x v="314"/>
    <x v="5"/>
    <x v="5"/>
    <x v="6"/>
    <x v="5"/>
    <x v="6"/>
    <x v="6"/>
    <x v="0"/>
    <x v="0"/>
    <x v="0"/>
    <x v="0"/>
    <x v="0"/>
    <x v="0"/>
    <x v="954"/>
    <x v="967"/>
    <x v="6"/>
  </r>
  <r>
    <x v="314"/>
    <x v="5"/>
    <x v="5"/>
    <x v="6"/>
    <x v="5"/>
    <x v="6"/>
    <x v="6"/>
    <x v="0"/>
    <x v="0"/>
    <x v="0"/>
    <x v="0"/>
    <x v="0"/>
    <x v="0"/>
    <x v="973"/>
    <x v="968"/>
    <x v="6"/>
  </r>
  <r>
    <x v="314"/>
    <x v="5"/>
    <x v="5"/>
    <x v="6"/>
    <x v="5"/>
    <x v="6"/>
    <x v="6"/>
    <x v="0"/>
    <x v="0"/>
    <x v="0"/>
    <x v="0"/>
    <x v="0"/>
    <x v="0"/>
    <x v="974"/>
    <x v="969"/>
    <x v="6"/>
  </r>
  <r>
    <x v="314"/>
    <x v="5"/>
    <x v="5"/>
    <x v="6"/>
    <x v="5"/>
    <x v="6"/>
    <x v="6"/>
    <x v="0"/>
    <x v="0"/>
    <x v="0"/>
    <x v="0"/>
    <x v="0"/>
    <x v="0"/>
    <x v="975"/>
    <x v="970"/>
    <x v="6"/>
  </r>
  <r>
    <x v="315"/>
    <x v="31"/>
    <x v="35"/>
    <x v="8"/>
    <x v="422"/>
    <x v="8"/>
    <x v="443"/>
    <x v="258"/>
    <x v="293"/>
    <x v="197"/>
    <x v="0"/>
    <x v="0"/>
    <x v="0"/>
    <x v="976"/>
    <x v="971"/>
    <x v="51"/>
  </r>
  <r>
    <x v="315"/>
    <x v="5"/>
    <x v="5"/>
    <x v="6"/>
    <x v="5"/>
    <x v="6"/>
    <x v="6"/>
    <x v="0"/>
    <x v="0"/>
    <x v="0"/>
    <x v="0"/>
    <x v="0"/>
    <x v="0"/>
    <x v="977"/>
    <x v="972"/>
    <x v="6"/>
  </r>
  <r>
    <x v="315"/>
    <x v="5"/>
    <x v="5"/>
    <x v="5"/>
    <x v="5"/>
    <x v="6"/>
    <x v="6"/>
    <x v="0"/>
    <x v="0"/>
    <x v="0"/>
    <x v="0"/>
    <x v="0"/>
    <x v="0"/>
    <x v="978"/>
    <x v="973"/>
    <x v="6"/>
  </r>
  <r>
    <x v="315"/>
    <x v="5"/>
    <x v="5"/>
    <x v="6"/>
    <x v="5"/>
    <x v="6"/>
    <x v="6"/>
    <x v="0"/>
    <x v="0"/>
    <x v="0"/>
    <x v="0"/>
    <x v="0"/>
    <x v="0"/>
    <x v="979"/>
    <x v="974"/>
    <x v="6"/>
  </r>
  <r>
    <x v="315"/>
    <x v="5"/>
    <x v="5"/>
    <x v="5"/>
    <x v="5"/>
    <x v="6"/>
    <x v="6"/>
    <x v="0"/>
    <x v="0"/>
    <x v="0"/>
    <x v="0"/>
    <x v="0"/>
    <x v="0"/>
    <x v="980"/>
    <x v="975"/>
    <x v="6"/>
  </r>
  <r>
    <x v="316"/>
    <x v="31"/>
    <x v="35"/>
    <x v="1"/>
    <x v="424"/>
    <x v="8"/>
    <x v="448"/>
    <x v="263"/>
    <x v="297"/>
    <x v="0"/>
    <x v="0"/>
    <x v="0"/>
    <x v="0"/>
    <x v="963"/>
    <x v="976"/>
    <x v="58"/>
  </r>
  <r>
    <x v="316"/>
    <x v="5"/>
    <x v="5"/>
    <x v="2"/>
    <x v="5"/>
    <x v="6"/>
    <x v="6"/>
    <x v="0"/>
    <x v="0"/>
    <x v="0"/>
    <x v="0"/>
    <x v="0"/>
    <x v="0"/>
    <x v="964"/>
    <x v="975"/>
    <x v="6"/>
  </r>
  <r>
    <x v="317"/>
    <x v="21"/>
    <x v="23"/>
    <x v="4"/>
    <x v="323"/>
    <x v="40"/>
    <x v="449"/>
    <x v="264"/>
    <x v="298"/>
    <x v="198"/>
    <x v="59"/>
    <x v="0"/>
    <x v="0"/>
    <x v="981"/>
    <x v="977"/>
    <x v="79"/>
  </r>
  <r>
    <x v="318"/>
    <x v="21"/>
    <x v="23"/>
    <x v="4"/>
    <x v="363"/>
    <x v="8"/>
    <x v="450"/>
    <x v="265"/>
    <x v="299"/>
    <x v="199"/>
    <x v="29"/>
    <x v="0"/>
    <x v="0"/>
    <x v="982"/>
    <x v="978"/>
    <x v="80"/>
  </r>
  <r>
    <x v="319"/>
    <x v="31"/>
    <x v="35"/>
    <x v="10"/>
    <x v="425"/>
    <x v="8"/>
    <x v="451"/>
    <x v="2"/>
    <x v="184"/>
    <x v="0"/>
    <x v="0"/>
    <x v="0"/>
    <x v="0"/>
    <x v="983"/>
    <x v="979"/>
    <x v="81"/>
  </r>
  <r>
    <x v="320"/>
    <x v="28"/>
    <x v="32"/>
    <x v="4"/>
    <x v="426"/>
    <x v="7"/>
    <x v="452"/>
    <x v="2"/>
    <x v="176"/>
    <x v="200"/>
    <x v="0"/>
    <x v="0"/>
    <x v="0"/>
    <x v="984"/>
    <x v="980"/>
    <x v="6"/>
  </r>
  <r>
    <x v="321"/>
    <x v="5"/>
    <x v="5"/>
    <x v="5"/>
    <x v="5"/>
    <x v="6"/>
    <x v="6"/>
    <x v="0"/>
    <x v="0"/>
    <x v="0"/>
    <x v="0"/>
    <x v="0"/>
    <x v="0"/>
    <x v="985"/>
    <x v="981"/>
    <x v="6"/>
  </r>
  <r>
    <x v="321"/>
    <x v="5"/>
    <x v="5"/>
    <x v="6"/>
    <x v="5"/>
    <x v="6"/>
    <x v="6"/>
    <x v="0"/>
    <x v="0"/>
    <x v="0"/>
    <x v="0"/>
    <x v="0"/>
    <x v="0"/>
    <x v="986"/>
    <x v="982"/>
    <x v="6"/>
  </r>
  <r>
    <x v="321"/>
    <x v="5"/>
    <x v="5"/>
    <x v="5"/>
    <x v="5"/>
    <x v="6"/>
    <x v="6"/>
    <x v="0"/>
    <x v="0"/>
    <x v="0"/>
    <x v="0"/>
    <x v="0"/>
    <x v="0"/>
    <x v="987"/>
    <x v="983"/>
    <x v="6"/>
  </r>
  <r>
    <x v="321"/>
    <x v="5"/>
    <x v="5"/>
    <x v="6"/>
    <x v="5"/>
    <x v="6"/>
    <x v="6"/>
    <x v="0"/>
    <x v="0"/>
    <x v="0"/>
    <x v="0"/>
    <x v="0"/>
    <x v="0"/>
    <x v="988"/>
    <x v="984"/>
    <x v="6"/>
  </r>
  <r>
    <x v="321"/>
    <x v="5"/>
    <x v="5"/>
    <x v="5"/>
    <x v="5"/>
    <x v="6"/>
    <x v="6"/>
    <x v="0"/>
    <x v="0"/>
    <x v="0"/>
    <x v="0"/>
    <x v="0"/>
    <x v="0"/>
    <x v="989"/>
    <x v="985"/>
    <x v="6"/>
  </r>
  <r>
    <x v="321"/>
    <x v="5"/>
    <x v="5"/>
    <x v="6"/>
    <x v="5"/>
    <x v="6"/>
    <x v="6"/>
    <x v="0"/>
    <x v="0"/>
    <x v="0"/>
    <x v="0"/>
    <x v="0"/>
    <x v="0"/>
    <x v="990"/>
    <x v="986"/>
    <x v="6"/>
  </r>
  <r>
    <x v="321"/>
    <x v="5"/>
    <x v="5"/>
    <x v="6"/>
    <x v="5"/>
    <x v="6"/>
    <x v="6"/>
    <x v="0"/>
    <x v="0"/>
    <x v="0"/>
    <x v="0"/>
    <x v="0"/>
    <x v="0"/>
    <x v="991"/>
    <x v="987"/>
    <x v="6"/>
  </r>
  <r>
    <x v="321"/>
    <x v="5"/>
    <x v="5"/>
    <x v="6"/>
    <x v="5"/>
    <x v="6"/>
    <x v="6"/>
    <x v="0"/>
    <x v="0"/>
    <x v="0"/>
    <x v="0"/>
    <x v="0"/>
    <x v="0"/>
    <x v="992"/>
    <x v="988"/>
    <x v="6"/>
  </r>
  <r>
    <x v="321"/>
    <x v="5"/>
    <x v="5"/>
    <x v="6"/>
    <x v="5"/>
    <x v="6"/>
    <x v="6"/>
    <x v="0"/>
    <x v="0"/>
    <x v="0"/>
    <x v="0"/>
    <x v="0"/>
    <x v="0"/>
    <x v="993"/>
    <x v="989"/>
    <x v="6"/>
  </r>
  <r>
    <x v="321"/>
    <x v="5"/>
    <x v="5"/>
    <x v="6"/>
    <x v="5"/>
    <x v="6"/>
    <x v="6"/>
    <x v="0"/>
    <x v="0"/>
    <x v="0"/>
    <x v="0"/>
    <x v="0"/>
    <x v="0"/>
    <x v="994"/>
    <x v="990"/>
    <x v="6"/>
  </r>
  <r>
    <x v="321"/>
    <x v="5"/>
    <x v="5"/>
    <x v="6"/>
    <x v="5"/>
    <x v="6"/>
    <x v="6"/>
    <x v="0"/>
    <x v="0"/>
    <x v="0"/>
    <x v="0"/>
    <x v="0"/>
    <x v="0"/>
    <x v="995"/>
    <x v="991"/>
    <x v="6"/>
  </r>
  <r>
    <x v="321"/>
    <x v="5"/>
    <x v="5"/>
    <x v="6"/>
    <x v="5"/>
    <x v="6"/>
    <x v="6"/>
    <x v="0"/>
    <x v="0"/>
    <x v="0"/>
    <x v="0"/>
    <x v="0"/>
    <x v="0"/>
    <x v="996"/>
    <x v="992"/>
    <x v="6"/>
  </r>
  <r>
    <x v="322"/>
    <x v="26"/>
    <x v="29"/>
    <x v="10"/>
    <x v="293"/>
    <x v="8"/>
    <x v="304"/>
    <x v="185"/>
    <x v="182"/>
    <x v="0"/>
    <x v="0"/>
    <x v="0"/>
    <x v="0"/>
    <x v="997"/>
    <x v="993"/>
    <x v="14"/>
  </r>
  <r>
    <x v="323"/>
    <x v="28"/>
    <x v="32"/>
    <x v="10"/>
    <x v="427"/>
    <x v="7"/>
    <x v="453"/>
    <x v="2"/>
    <x v="184"/>
    <x v="0"/>
    <x v="0"/>
    <x v="0"/>
    <x v="0"/>
    <x v="998"/>
    <x v="994"/>
    <x v="10"/>
  </r>
  <r>
    <x v="324"/>
    <x v="28"/>
    <x v="32"/>
    <x v="4"/>
    <x v="428"/>
    <x v="7"/>
    <x v="454"/>
    <x v="2"/>
    <x v="300"/>
    <x v="201"/>
    <x v="0"/>
    <x v="0"/>
    <x v="0"/>
    <x v="999"/>
    <x v="995"/>
    <x v="6"/>
  </r>
  <r>
    <x v="324"/>
    <x v="32"/>
    <x v="36"/>
    <x v="10"/>
    <x v="12"/>
    <x v="3"/>
    <x v="455"/>
    <x v="2"/>
    <x v="301"/>
    <x v="0"/>
    <x v="0"/>
    <x v="0"/>
    <x v="0"/>
    <x v="1000"/>
    <x v="996"/>
    <x v="3"/>
  </r>
  <r>
    <x v="324"/>
    <x v="5"/>
    <x v="5"/>
    <x v="5"/>
    <x v="5"/>
    <x v="6"/>
    <x v="6"/>
    <x v="0"/>
    <x v="0"/>
    <x v="0"/>
    <x v="0"/>
    <x v="0"/>
    <x v="0"/>
    <x v="1001"/>
    <x v="997"/>
    <x v="6"/>
  </r>
  <r>
    <x v="324"/>
    <x v="5"/>
    <x v="5"/>
    <x v="6"/>
    <x v="5"/>
    <x v="6"/>
    <x v="6"/>
    <x v="0"/>
    <x v="0"/>
    <x v="0"/>
    <x v="0"/>
    <x v="0"/>
    <x v="0"/>
    <x v="1002"/>
    <x v="998"/>
    <x v="6"/>
  </r>
  <r>
    <x v="325"/>
    <x v="26"/>
    <x v="29"/>
    <x v="4"/>
    <x v="429"/>
    <x v="8"/>
    <x v="353"/>
    <x v="208"/>
    <x v="302"/>
    <x v="153"/>
    <x v="0"/>
    <x v="0"/>
    <x v="0"/>
    <x v="1003"/>
    <x v="999"/>
    <x v="8"/>
  </r>
  <r>
    <x v="326"/>
    <x v="32"/>
    <x v="36"/>
    <x v="4"/>
    <x v="82"/>
    <x v="3"/>
    <x v="456"/>
    <x v="2"/>
    <x v="303"/>
    <x v="202"/>
    <x v="0"/>
    <x v="0"/>
    <x v="0"/>
    <x v="1004"/>
    <x v="1000"/>
    <x v="6"/>
  </r>
  <r>
    <x v="327"/>
    <x v="26"/>
    <x v="29"/>
    <x v="10"/>
    <x v="327"/>
    <x v="0"/>
    <x v="457"/>
    <x v="2"/>
    <x v="194"/>
    <x v="0"/>
    <x v="0"/>
    <x v="0"/>
    <x v="0"/>
    <x v="1005"/>
    <x v="1001"/>
    <x v="48"/>
  </r>
  <r>
    <x v="328"/>
    <x v="26"/>
    <x v="29"/>
    <x v="10"/>
    <x v="430"/>
    <x v="0"/>
    <x v="236"/>
    <x v="2"/>
    <x v="117"/>
    <x v="0"/>
    <x v="0"/>
    <x v="0"/>
    <x v="0"/>
    <x v="1006"/>
    <x v="1002"/>
    <x v="14"/>
  </r>
  <r>
    <x v="329"/>
    <x v="5"/>
    <x v="5"/>
    <x v="13"/>
    <x v="5"/>
    <x v="6"/>
    <x v="6"/>
    <x v="0"/>
    <x v="0"/>
    <x v="0"/>
    <x v="0"/>
    <x v="0"/>
    <x v="0"/>
    <x v="1007"/>
    <x v="1003"/>
    <x v="6"/>
  </r>
  <r>
    <x v="329"/>
    <x v="5"/>
    <x v="5"/>
    <x v="6"/>
    <x v="5"/>
    <x v="6"/>
    <x v="6"/>
    <x v="0"/>
    <x v="0"/>
    <x v="0"/>
    <x v="0"/>
    <x v="0"/>
    <x v="0"/>
    <x v="1008"/>
    <x v="1004"/>
    <x v="6"/>
  </r>
  <r>
    <x v="329"/>
    <x v="5"/>
    <x v="5"/>
    <x v="6"/>
    <x v="5"/>
    <x v="6"/>
    <x v="6"/>
    <x v="0"/>
    <x v="0"/>
    <x v="0"/>
    <x v="0"/>
    <x v="0"/>
    <x v="0"/>
    <x v="1009"/>
    <x v="1005"/>
    <x v="6"/>
  </r>
  <r>
    <x v="329"/>
    <x v="5"/>
    <x v="5"/>
    <x v="6"/>
    <x v="5"/>
    <x v="6"/>
    <x v="6"/>
    <x v="0"/>
    <x v="0"/>
    <x v="0"/>
    <x v="0"/>
    <x v="0"/>
    <x v="0"/>
    <x v="1010"/>
    <x v="1006"/>
    <x v="6"/>
  </r>
  <r>
    <x v="329"/>
    <x v="5"/>
    <x v="5"/>
    <x v="6"/>
    <x v="5"/>
    <x v="6"/>
    <x v="6"/>
    <x v="0"/>
    <x v="0"/>
    <x v="0"/>
    <x v="0"/>
    <x v="0"/>
    <x v="0"/>
    <x v="1011"/>
    <x v="1007"/>
    <x v="6"/>
  </r>
  <r>
    <x v="329"/>
    <x v="5"/>
    <x v="5"/>
    <x v="6"/>
    <x v="5"/>
    <x v="6"/>
    <x v="6"/>
    <x v="0"/>
    <x v="0"/>
    <x v="0"/>
    <x v="0"/>
    <x v="0"/>
    <x v="0"/>
    <x v="1012"/>
    <x v="1008"/>
    <x v="6"/>
  </r>
  <r>
    <x v="329"/>
    <x v="5"/>
    <x v="5"/>
    <x v="6"/>
    <x v="5"/>
    <x v="6"/>
    <x v="6"/>
    <x v="0"/>
    <x v="0"/>
    <x v="0"/>
    <x v="0"/>
    <x v="0"/>
    <x v="0"/>
    <x v="1012"/>
    <x v="1009"/>
    <x v="6"/>
  </r>
  <r>
    <x v="330"/>
    <x v="25"/>
    <x v="28"/>
    <x v="1"/>
    <x v="431"/>
    <x v="31"/>
    <x v="458"/>
    <x v="266"/>
    <x v="304"/>
    <x v="0"/>
    <x v="0"/>
    <x v="0"/>
    <x v="0"/>
    <x v="1013"/>
    <x v="1010"/>
    <x v="12"/>
  </r>
  <r>
    <x v="330"/>
    <x v="5"/>
    <x v="5"/>
    <x v="2"/>
    <x v="5"/>
    <x v="6"/>
    <x v="6"/>
    <x v="0"/>
    <x v="0"/>
    <x v="0"/>
    <x v="0"/>
    <x v="0"/>
    <x v="0"/>
    <x v="1014"/>
    <x v="1009"/>
    <x v="6"/>
  </r>
  <r>
    <x v="331"/>
    <x v="5"/>
    <x v="5"/>
    <x v="5"/>
    <x v="5"/>
    <x v="6"/>
    <x v="6"/>
    <x v="0"/>
    <x v="0"/>
    <x v="0"/>
    <x v="0"/>
    <x v="0"/>
    <x v="0"/>
    <x v="1015"/>
    <x v="1011"/>
    <x v="6"/>
  </r>
  <r>
    <x v="331"/>
    <x v="5"/>
    <x v="5"/>
    <x v="6"/>
    <x v="5"/>
    <x v="6"/>
    <x v="6"/>
    <x v="0"/>
    <x v="0"/>
    <x v="0"/>
    <x v="0"/>
    <x v="0"/>
    <x v="0"/>
    <x v="1016"/>
    <x v="1012"/>
    <x v="6"/>
  </r>
  <r>
    <x v="331"/>
    <x v="5"/>
    <x v="5"/>
    <x v="5"/>
    <x v="5"/>
    <x v="6"/>
    <x v="6"/>
    <x v="0"/>
    <x v="0"/>
    <x v="0"/>
    <x v="0"/>
    <x v="0"/>
    <x v="0"/>
    <x v="1017"/>
    <x v="1013"/>
    <x v="6"/>
  </r>
  <r>
    <x v="331"/>
    <x v="5"/>
    <x v="5"/>
    <x v="6"/>
    <x v="5"/>
    <x v="6"/>
    <x v="6"/>
    <x v="0"/>
    <x v="0"/>
    <x v="0"/>
    <x v="0"/>
    <x v="0"/>
    <x v="0"/>
    <x v="1018"/>
    <x v="1014"/>
    <x v="6"/>
  </r>
  <r>
    <x v="332"/>
    <x v="5"/>
    <x v="5"/>
    <x v="5"/>
    <x v="5"/>
    <x v="6"/>
    <x v="6"/>
    <x v="0"/>
    <x v="0"/>
    <x v="0"/>
    <x v="0"/>
    <x v="0"/>
    <x v="0"/>
    <x v="1019"/>
    <x v="1015"/>
    <x v="6"/>
  </r>
  <r>
    <x v="332"/>
    <x v="5"/>
    <x v="5"/>
    <x v="6"/>
    <x v="5"/>
    <x v="6"/>
    <x v="6"/>
    <x v="0"/>
    <x v="0"/>
    <x v="0"/>
    <x v="0"/>
    <x v="0"/>
    <x v="0"/>
    <x v="1020"/>
    <x v="1016"/>
    <x v="6"/>
  </r>
  <r>
    <x v="332"/>
    <x v="5"/>
    <x v="5"/>
    <x v="6"/>
    <x v="5"/>
    <x v="6"/>
    <x v="6"/>
    <x v="0"/>
    <x v="0"/>
    <x v="0"/>
    <x v="0"/>
    <x v="0"/>
    <x v="0"/>
    <x v="1021"/>
    <x v="1017"/>
    <x v="6"/>
  </r>
  <r>
    <x v="332"/>
    <x v="5"/>
    <x v="5"/>
    <x v="6"/>
    <x v="5"/>
    <x v="6"/>
    <x v="6"/>
    <x v="0"/>
    <x v="0"/>
    <x v="0"/>
    <x v="0"/>
    <x v="0"/>
    <x v="0"/>
    <x v="1022"/>
    <x v="1018"/>
    <x v="6"/>
  </r>
  <r>
    <x v="332"/>
    <x v="5"/>
    <x v="5"/>
    <x v="6"/>
    <x v="5"/>
    <x v="6"/>
    <x v="6"/>
    <x v="0"/>
    <x v="0"/>
    <x v="0"/>
    <x v="0"/>
    <x v="0"/>
    <x v="0"/>
    <x v="1023"/>
    <x v="1019"/>
    <x v="6"/>
  </r>
  <r>
    <x v="332"/>
    <x v="5"/>
    <x v="5"/>
    <x v="6"/>
    <x v="5"/>
    <x v="6"/>
    <x v="6"/>
    <x v="0"/>
    <x v="0"/>
    <x v="0"/>
    <x v="0"/>
    <x v="0"/>
    <x v="0"/>
    <x v="1024"/>
    <x v="1020"/>
    <x v="6"/>
  </r>
  <r>
    <x v="332"/>
    <x v="5"/>
    <x v="5"/>
    <x v="6"/>
    <x v="5"/>
    <x v="6"/>
    <x v="6"/>
    <x v="0"/>
    <x v="0"/>
    <x v="0"/>
    <x v="0"/>
    <x v="0"/>
    <x v="0"/>
    <x v="1024"/>
    <x v="1021"/>
    <x v="6"/>
  </r>
  <r>
    <x v="332"/>
    <x v="5"/>
    <x v="5"/>
    <x v="6"/>
    <x v="5"/>
    <x v="6"/>
    <x v="6"/>
    <x v="0"/>
    <x v="0"/>
    <x v="0"/>
    <x v="0"/>
    <x v="0"/>
    <x v="0"/>
    <x v="1025"/>
    <x v="1022"/>
    <x v="6"/>
  </r>
  <r>
    <x v="333"/>
    <x v="5"/>
    <x v="5"/>
    <x v="6"/>
    <x v="5"/>
    <x v="6"/>
    <x v="6"/>
    <x v="0"/>
    <x v="0"/>
    <x v="0"/>
    <x v="0"/>
    <x v="0"/>
    <x v="0"/>
    <x v="1026"/>
    <x v="1023"/>
    <x v="6"/>
  </r>
  <r>
    <x v="333"/>
    <x v="5"/>
    <x v="5"/>
    <x v="6"/>
    <x v="5"/>
    <x v="6"/>
    <x v="6"/>
    <x v="0"/>
    <x v="0"/>
    <x v="0"/>
    <x v="0"/>
    <x v="0"/>
    <x v="0"/>
    <x v="1027"/>
    <x v="1024"/>
    <x v="6"/>
  </r>
  <r>
    <x v="333"/>
    <x v="5"/>
    <x v="5"/>
    <x v="6"/>
    <x v="5"/>
    <x v="6"/>
    <x v="6"/>
    <x v="0"/>
    <x v="0"/>
    <x v="0"/>
    <x v="0"/>
    <x v="0"/>
    <x v="0"/>
    <x v="1028"/>
    <x v="1025"/>
    <x v="6"/>
  </r>
  <r>
    <x v="333"/>
    <x v="5"/>
    <x v="5"/>
    <x v="6"/>
    <x v="5"/>
    <x v="6"/>
    <x v="6"/>
    <x v="0"/>
    <x v="0"/>
    <x v="0"/>
    <x v="0"/>
    <x v="0"/>
    <x v="0"/>
    <x v="1029"/>
    <x v="1026"/>
    <x v="6"/>
  </r>
  <r>
    <x v="333"/>
    <x v="5"/>
    <x v="5"/>
    <x v="6"/>
    <x v="5"/>
    <x v="6"/>
    <x v="6"/>
    <x v="0"/>
    <x v="0"/>
    <x v="0"/>
    <x v="0"/>
    <x v="0"/>
    <x v="0"/>
    <x v="1029"/>
    <x v="1027"/>
    <x v="6"/>
  </r>
  <r>
    <x v="333"/>
    <x v="5"/>
    <x v="5"/>
    <x v="6"/>
    <x v="5"/>
    <x v="6"/>
    <x v="6"/>
    <x v="0"/>
    <x v="0"/>
    <x v="0"/>
    <x v="0"/>
    <x v="0"/>
    <x v="0"/>
    <x v="1030"/>
    <x v="1028"/>
    <x v="6"/>
  </r>
  <r>
    <x v="334"/>
    <x v="28"/>
    <x v="32"/>
    <x v="1"/>
    <x v="432"/>
    <x v="5"/>
    <x v="459"/>
    <x v="2"/>
    <x v="52"/>
    <x v="0"/>
    <x v="0"/>
    <x v="0"/>
    <x v="0"/>
    <x v="1031"/>
    <x v="1029"/>
    <x v="5"/>
  </r>
  <r>
    <x v="334"/>
    <x v="5"/>
    <x v="5"/>
    <x v="2"/>
    <x v="5"/>
    <x v="6"/>
    <x v="6"/>
    <x v="0"/>
    <x v="0"/>
    <x v="0"/>
    <x v="0"/>
    <x v="0"/>
    <x v="0"/>
    <x v="1032"/>
    <x v="1028"/>
    <x v="6"/>
  </r>
  <r>
    <x v="335"/>
    <x v="28"/>
    <x v="32"/>
    <x v="8"/>
    <x v="433"/>
    <x v="5"/>
    <x v="460"/>
    <x v="2"/>
    <x v="38"/>
    <x v="203"/>
    <x v="0"/>
    <x v="0"/>
    <x v="0"/>
    <x v="1033"/>
    <x v="1030"/>
    <x v="6"/>
  </r>
  <r>
    <x v="335"/>
    <x v="5"/>
    <x v="5"/>
    <x v="6"/>
    <x v="5"/>
    <x v="6"/>
    <x v="6"/>
    <x v="0"/>
    <x v="0"/>
    <x v="0"/>
    <x v="0"/>
    <x v="0"/>
    <x v="0"/>
    <x v="1034"/>
    <x v="1031"/>
    <x v="6"/>
  </r>
  <r>
    <x v="335"/>
    <x v="5"/>
    <x v="5"/>
    <x v="5"/>
    <x v="5"/>
    <x v="6"/>
    <x v="6"/>
    <x v="0"/>
    <x v="0"/>
    <x v="0"/>
    <x v="0"/>
    <x v="0"/>
    <x v="0"/>
    <x v="1035"/>
    <x v="1032"/>
    <x v="6"/>
  </r>
  <r>
    <x v="336"/>
    <x v="31"/>
    <x v="35"/>
    <x v="14"/>
    <x v="5"/>
    <x v="6"/>
    <x v="461"/>
    <x v="0"/>
    <x v="0"/>
    <x v="0"/>
    <x v="0"/>
    <x v="0"/>
    <x v="0"/>
    <x v="1036"/>
    <x v="1033"/>
    <x v="6"/>
  </r>
  <r>
    <x v="336"/>
    <x v="28"/>
    <x v="32"/>
    <x v="1"/>
    <x v="434"/>
    <x v="5"/>
    <x v="462"/>
    <x v="2"/>
    <x v="52"/>
    <x v="0"/>
    <x v="0"/>
    <x v="0"/>
    <x v="0"/>
    <x v="1037"/>
    <x v="1034"/>
    <x v="5"/>
  </r>
  <r>
    <x v="336"/>
    <x v="5"/>
    <x v="5"/>
    <x v="2"/>
    <x v="5"/>
    <x v="6"/>
    <x v="6"/>
    <x v="0"/>
    <x v="0"/>
    <x v="0"/>
    <x v="0"/>
    <x v="0"/>
    <x v="0"/>
    <x v="1038"/>
    <x v="1033"/>
    <x v="6"/>
  </r>
  <r>
    <x v="337"/>
    <x v="5"/>
    <x v="5"/>
    <x v="5"/>
    <x v="5"/>
    <x v="6"/>
    <x v="6"/>
    <x v="0"/>
    <x v="0"/>
    <x v="0"/>
    <x v="0"/>
    <x v="0"/>
    <x v="0"/>
    <x v="1039"/>
    <x v="1035"/>
    <x v="6"/>
  </r>
  <r>
    <x v="337"/>
    <x v="5"/>
    <x v="5"/>
    <x v="6"/>
    <x v="5"/>
    <x v="6"/>
    <x v="6"/>
    <x v="0"/>
    <x v="0"/>
    <x v="0"/>
    <x v="0"/>
    <x v="0"/>
    <x v="0"/>
    <x v="1040"/>
    <x v="1036"/>
    <x v="6"/>
  </r>
  <r>
    <x v="338"/>
    <x v="20"/>
    <x v="26"/>
    <x v="4"/>
    <x v="435"/>
    <x v="33"/>
    <x v="463"/>
    <x v="267"/>
    <x v="305"/>
    <x v="204"/>
    <x v="0"/>
    <x v="0"/>
    <x v="0"/>
    <x v="1041"/>
    <x v="1037"/>
    <x v="6"/>
  </r>
  <r>
    <x v="338"/>
    <x v="33"/>
    <x v="37"/>
    <x v="10"/>
    <x v="436"/>
    <x v="12"/>
    <x v="267"/>
    <x v="2"/>
    <x v="303"/>
    <x v="0"/>
    <x v="0"/>
    <x v="0"/>
    <x v="0"/>
    <x v="1042"/>
    <x v="1038"/>
    <x v="22"/>
  </r>
  <r>
    <x v="339"/>
    <x v="28"/>
    <x v="32"/>
    <x v="8"/>
    <x v="437"/>
    <x v="5"/>
    <x v="464"/>
    <x v="2"/>
    <x v="214"/>
    <x v="205"/>
    <x v="0"/>
    <x v="0"/>
    <x v="0"/>
    <x v="1043"/>
    <x v="1039"/>
    <x v="6"/>
  </r>
  <r>
    <x v="339"/>
    <x v="5"/>
    <x v="5"/>
    <x v="6"/>
    <x v="5"/>
    <x v="6"/>
    <x v="6"/>
    <x v="0"/>
    <x v="0"/>
    <x v="0"/>
    <x v="0"/>
    <x v="0"/>
    <x v="0"/>
    <x v="1044"/>
    <x v="1040"/>
    <x v="6"/>
  </r>
  <r>
    <x v="339"/>
    <x v="5"/>
    <x v="5"/>
    <x v="5"/>
    <x v="5"/>
    <x v="6"/>
    <x v="6"/>
    <x v="0"/>
    <x v="0"/>
    <x v="0"/>
    <x v="0"/>
    <x v="0"/>
    <x v="0"/>
    <x v="1045"/>
    <x v="1041"/>
    <x v="6"/>
  </r>
  <r>
    <x v="340"/>
    <x v="5"/>
    <x v="5"/>
    <x v="13"/>
    <x v="5"/>
    <x v="6"/>
    <x v="6"/>
    <x v="0"/>
    <x v="0"/>
    <x v="0"/>
    <x v="0"/>
    <x v="0"/>
    <x v="0"/>
    <x v="1046"/>
    <x v="1042"/>
    <x v="6"/>
  </r>
  <r>
    <x v="340"/>
    <x v="5"/>
    <x v="5"/>
    <x v="6"/>
    <x v="5"/>
    <x v="6"/>
    <x v="6"/>
    <x v="0"/>
    <x v="0"/>
    <x v="0"/>
    <x v="0"/>
    <x v="0"/>
    <x v="0"/>
    <x v="1047"/>
    <x v="1043"/>
    <x v="6"/>
  </r>
  <r>
    <x v="340"/>
    <x v="5"/>
    <x v="5"/>
    <x v="6"/>
    <x v="5"/>
    <x v="6"/>
    <x v="6"/>
    <x v="0"/>
    <x v="0"/>
    <x v="0"/>
    <x v="0"/>
    <x v="0"/>
    <x v="0"/>
    <x v="1048"/>
    <x v="1044"/>
    <x v="6"/>
  </r>
  <r>
    <x v="340"/>
    <x v="5"/>
    <x v="5"/>
    <x v="6"/>
    <x v="5"/>
    <x v="6"/>
    <x v="6"/>
    <x v="0"/>
    <x v="0"/>
    <x v="0"/>
    <x v="0"/>
    <x v="0"/>
    <x v="0"/>
    <x v="1048"/>
    <x v="1045"/>
    <x v="6"/>
  </r>
  <r>
    <x v="340"/>
    <x v="5"/>
    <x v="5"/>
    <x v="6"/>
    <x v="5"/>
    <x v="6"/>
    <x v="6"/>
    <x v="0"/>
    <x v="0"/>
    <x v="0"/>
    <x v="0"/>
    <x v="0"/>
    <x v="0"/>
    <x v="1049"/>
    <x v="1046"/>
    <x v="6"/>
  </r>
  <r>
    <x v="340"/>
    <x v="5"/>
    <x v="5"/>
    <x v="6"/>
    <x v="5"/>
    <x v="6"/>
    <x v="6"/>
    <x v="0"/>
    <x v="0"/>
    <x v="0"/>
    <x v="0"/>
    <x v="0"/>
    <x v="0"/>
    <x v="1050"/>
    <x v="1047"/>
    <x v="6"/>
  </r>
  <r>
    <x v="340"/>
    <x v="5"/>
    <x v="5"/>
    <x v="6"/>
    <x v="5"/>
    <x v="6"/>
    <x v="6"/>
    <x v="0"/>
    <x v="0"/>
    <x v="0"/>
    <x v="0"/>
    <x v="0"/>
    <x v="0"/>
    <x v="1051"/>
    <x v="1048"/>
    <x v="6"/>
  </r>
  <r>
    <x v="340"/>
    <x v="5"/>
    <x v="5"/>
    <x v="6"/>
    <x v="5"/>
    <x v="6"/>
    <x v="6"/>
    <x v="0"/>
    <x v="0"/>
    <x v="0"/>
    <x v="0"/>
    <x v="0"/>
    <x v="0"/>
    <x v="1052"/>
    <x v="1049"/>
    <x v="6"/>
  </r>
  <r>
    <x v="340"/>
    <x v="5"/>
    <x v="5"/>
    <x v="6"/>
    <x v="5"/>
    <x v="6"/>
    <x v="6"/>
    <x v="0"/>
    <x v="0"/>
    <x v="0"/>
    <x v="0"/>
    <x v="0"/>
    <x v="0"/>
    <x v="1053"/>
    <x v="1050"/>
    <x v="6"/>
  </r>
  <r>
    <x v="341"/>
    <x v="25"/>
    <x v="28"/>
    <x v="14"/>
    <x v="5"/>
    <x v="6"/>
    <x v="465"/>
    <x v="0"/>
    <x v="0"/>
    <x v="0"/>
    <x v="0"/>
    <x v="0"/>
    <x v="0"/>
    <x v="1054"/>
    <x v="1051"/>
    <x v="6"/>
  </r>
  <r>
    <x v="342"/>
    <x v="5"/>
    <x v="5"/>
    <x v="6"/>
    <x v="5"/>
    <x v="6"/>
    <x v="6"/>
    <x v="0"/>
    <x v="0"/>
    <x v="0"/>
    <x v="0"/>
    <x v="0"/>
    <x v="0"/>
    <x v="1055"/>
    <x v="1052"/>
    <x v="6"/>
  </r>
  <r>
    <x v="342"/>
    <x v="5"/>
    <x v="5"/>
    <x v="6"/>
    <x v="5"/>
    <x v="6"/>
    <x v="6"/>
    <x v="0"/>
    <x v="0"/>
    <x v="0"/>
    <x v="0"/>
    <x v="0"/>
    <x v="0"/>
    <x v="1056"/>
    <x v="1053"/>
    <x v="6"/>
  </r>
  <r>
    <x v="342"/>
    <x v="5"/>
    <x v="5"/>
    <x v="6"/>
    <x v="5"/>
    <x v="6"/>
    <x v="6"/>
    <x v="0"/>
    <x v="0"/>
    <x v="0"/>
    <x v="0"/>
    <x v="0"/>
    <x v="0"/>
    <x v="1057"/>
    <x v="1054"/>
    <x v="6"/>
  </r>
  <r>
    <x v="342"/>
    <x v="5"/>
    <x v="5"/>
    <x v="6"/>
    <x v="5"/>
    <x v="6"/>
    <x v="6"/>
    <x v="0"/>
    <x v="0"/>
    <x v="0"/>
    <x v="0"/>
    <x v="0"/>
    <x v="0"/>
    <x v="1058"/>
    <x v="1055"/>
    <x v="6"/>
  </r>
  <r>
    <x v="342"/>
    <x v="5"/>
    <x v="5"/>
    <x v="6"/>
    <x v="5"/>
    <x v="6"/>
    <x v="6"/>
    <x v="0"/>
    <x v="0"/>
    <x v="0"/>
    <x v="0"/>
    <x v="0"/>
    <x v="0"/>
    <x v="1059"/>
    <x v="1056"/>
    <x v="6"/>
  </r>
  <r>
    <x v="342"/>
    <x v="5"/>
    <x v="5"/>
    <x v="6"/>
    <x v="5"/>
    <x v="6"/>
    <x v="6"/>
    <x v="0"/>
    <x v="0"/>
    <x v="0"/>
    <x v="0"/>
    <x v="0"/>
    <x v="0"/>
    <x v="1060"/>
    <x v="1057"/>
    <x v="6"/>
  </r>
  <r>
    <x v="342"/>
    <x v="5"/>
    <x v="5"/>
    <x v="6"/>
    <x v="5"/>
    <x v="6"/>
    <x v="6"/>
    <x v="0"/>
    <x v="0"/>
    <x v="0"/>
    <x v="0"/>
    <x v="0"/>
    <x v="0"/>
    <x v="1061"/>
    <x v="1058"/>
    <x v="6"/>
  </r>
  <r>
    <x v="342"/>
    <x v="5"/>
    <x v="5"/>
    <x v="6"/>
    <x v="5"/>
    <x v="6"/>
    <x v="6"/>
    <x v="0"/>
    <x v="0"/>
    <x v="0"/>
    <x v="0"/>
    <x v="0"/>
    <x v="0"/>
    <x v="1061"/>
    <x v="1059"/>
    <x v="6"/>
  </r>
  <r>
    <x v="343"/>
    <x v="21"/>
    <x v="23"/>
    <x v="14"/>
    <x v="5"/>
    <x v="51"/>
    <x v="466"/>
    <x v="0"/>
    <x v="0"/>
    <x v="0"/>
    <x v="0"/>
    <x v="0"/>
    <x v="0"/>
    <x v="1062"/>
    <x v="1060"/>
    <x v="6"/>
  </r>
  <r>
    <x v="344"/>
    <x v="5"/>
    <x v="5"/>
    <x v="6"/>
    <x v="5"/>
    <x v="6"/>
    <x v="6"/>
    <x v="0"/>
    <x v="0"/>
    <x v="0"/>
    <x v="0"/>
    <x v="0"/>
    <x v="0"/>
    <x v="1063"/>
    <x v="1061"/>
    <x v="6"/>
  </r>
  <r>
    <x v="344"/>
    <x v="5"/>
    <x v="5"/>
    <x v="5"/>
    <x v="5"/>
    <x v="6"/>
    <x v="6"/>
    <x v="0"/>
    <x v="0"/>
    <x v="0"/>
    <x v="0"/>
    <x v="0"/>
    <x v="0"/>
    <x v="1064"/>
    <x v="1062"/>
    <x v="6"/>
  </r>
  <r>
    <x v="345"/>
    <x v="26"/>
    <x v="29"/>
    <x v="14"/>
    <x v="5"/>
    <x v="6"/>
    <x v="467"/>
    <x v="0"/>
    <x v="0"/>
    <x v="0"/>
    <x v="0"/>
    <x v="0"/>
    <x v="0"/>
    <x v="1065"/>
    <x v="1063"/>
    <x v="6"/>
  </r>
  <r>
    <x v="346"/>
    <x v="5"/>
    <x v="5"/>
    <x v="6"/>
    <x v="5"/>
    <x v="6"/>
    <x v="6"/>
    <x v="0"/>
    <x v="0"/>
    <x v="0"/>
    <x v="0"/>
    <x v="0"/>
    <x v="0"/>
    <x v="1066"/>
    <x v="1064"/>
    <x v="6"/>
  </r>
  <r>
    <x v="346"/>
    <x v="5"/>
    <x v="5"/>
    <x v="5"/>
    <x v="5"/>
    <x v="6"/>
    <x v="6"/>
    <x v="0"/>
    <x v="0"/>
    <x v="0"/>
    <x v="0"/>
    <x v="0"/>
    <x v="0"/>
    <x v="1067"/>
    <x v="1062"/>
    <x v="6"/>
  </r>
  <r>
    <x v="347"/>
    <x v="5"/>
    <x v="5"/>
    <x v="6"/>
    <x v="5"/>
    <x v="6"/>
    <x v="6"/>
    <x v="0"/>
    <x v="0"/>
    <x v="0"/>
    <x v="0"/>
    <x v="0"/>
    <x v="0"/>
    <x v="1068"/>
    <x v="0"/>
    <x v="6"/>
  </r>
  <r>
    <x v="348"/>
    <x v="26"/>
    <x v="29"/>
    <x v="0"/>
    <x v="438"/>
    <x v="52"/>
    <x v="468"/>
    <x v="0"/>
    <x v="0"/>
    <x v="0"/>
    <x v="0"/>
    <x v="0"/>
    <x v="0"/>
    <x v="0"/>
    <x v="0"/>
    <x v="82"/>
  </r>
  <r>
    <x v="349"/>
    <x v="21"/>
    <x v="23"/>
    <x v="4"/>
    <x v="439"/>
    <x v="53"/>
    <x v="469"/>
    <x v="268"/>
    <x v="306"/>
    <x v="206"/>
    <x v="60"/>
    <x v="0"/>
    <x v="0"/>
    <x v="1069"/>
    <x v="1065"/>
    <x v="83"/>
  </r>
  <r>
    <x v="350"/>
    <x v="5"/>
    <x v="5"/>
    <x v="12"/>
    <x v="5"/>
    <x v="6"/>
    <x v="6"/>
    <x v="0"/>
    <x v="0"/>
    <x v="0"/>
    <x v="0"/>
    <x v="0"/>
    <x v="0"/>
    <x v="432"/>
    <x v="1066"/>
    <x v="6"/>
  </r>
  <r>
    <x v="350"/>
    <x v="5"/>
    <x v="5"/>
    <x v="6"/>
    <x v="5"/>
    <x v="6"/>
    <x v="6"/>
    <x v="0"/>
    <x v="0"/>
    <x v="0"/>
    <x v="0"/>
    <x v="0"/>
    <x v="0"/>
    <x v="1070"/>
    <x v="1067"/>
    <x v="6"/>
  </r>
  <r>
    <x v="350"/>
    <x v="5"/>
    <x v="5"/>
    <x v="5"/>
    <x v="5"/>
    <x v="6"/>
    <x v="6"/>
    <x v="0"/>
    <x v="0"/>
    <x v="0"/>
    <x v="0"/>
    <x v="0"/>
    <x v="0"/>
    <x v="1071"/>
    <x v="0"/>
    <x v="6"/>
  </r>
  <r>
    <x v="351"/>
    <x v="31"/>
    <x v="35"/>
    <x v="1"/>
    <x v="440"/>
    <x v="18"/>
    <x v="470"/>
    <x v="269"/>
    <x v="307"/>
    <x v="0"/>
    <x v="0"/>
    <x v="0"/>
    <x v="0"/>
    <x v="1072"/>
    <x v="1068"/>
    <x v="84"/>
  </r>
  <r>
    <x v="351"/>
    <x v="5"/>
    <x v="5"/>
    <x v="2"/>
    <x v="5"/>
    <x v="6"/>
    <x v="6"/>
    <x v="0"/>
    <x v="0"/>
    <x v="0"/>
    <x v="0"/>
    <x v="0"/>
    <x v="0"/>
    <x v="1073"/>
    <x v="0"/>
    <x v="6"/>
  </r>
  <r>
    <x v="352"/>
    <x v="5"/>
    <x v="5"/>
    <x v="13"/>
    <x v="5"/>
    <x v="6"/>
    <x v="6"/>
    <x v="0"/>
    <x v="0"/>
    <x v="0"/>
    <x v="0"/>
    <x v="0"/>
    <x v="0"/>
    <x v="1074"/>
    <x v="1069"/>
    <x v="6"/>
  </r>
  <r>
    <x v="352"/>
    <x v="5"/>
    <x v="5"/>
    <x v="6"/>
    <x v="5"/>
    <x v="6"/>
    <x v="6"/>
    <x v="0"/>
    <x v="0"/>
    <x v="0"/>
    <x v="0"/>
    <x v="0"/>
    <x v="0"/>
    <x v="1075"/>
    <x v="0"/>
    <x v="6"/>
  </r>
  <r>
    <x v="353"/>
    <x v="31"/>
    <x v="35"/>
    <x v="8"/>
    <x v="441"/>
    <x v="18"/>
    <x v="471"/>
    <x v="270"/>
    <x v="308"/>
    <x v="207"/>
    <x v="0"/>
    <x v="0"/>
    <x v="0"/>
    <x v="1076"/>
    <x v="1070"/>
    <x v="81"/>
  </r>
  <r>
    <x v="353"/>
    <x v="25"/>
    <x v="28"/>
    <x v="1"/>
    <x v="341"/>
    <x v="31"/>
    <x v="472"/>
    <x v="271"/>
    <x v="25"/>
    <x v="0"/>
    <x v="0"/>
    <x v="0"/>
    <x v="0"/>
    <x v="1077"/>
    <x v="1071"/>
    <x v="75"/>
  </r>
  <r>
    <x v="353"/>
    <x v="25"/>
    <x v="28"/>
    <x v="8"/>
    <x v="442"/>
    <x v="31"/>
    <x v="473"/>
    <x v="272"/>
    <x v="309"/>
    <x v="208"/>
    <x v="0"/>
    <x v="0"/>
    <x v="0"/>
    <x v="1078"/>
    <x v="1072"/>
    <x v="12"/>
  </r>
  <r>
    <x v="353"/>
    <x v="5"/>
    <x v="5"/>
    <x v="2"/>
    <x v="5"/>
    <x v="6"/>
    <x v="6"/>
    <x v="0"/>
    <x v="0"/>
    <x v="0"/>
    <x v="0"/>
    <x v="0"/>
    <x v="0"/>
    <x v="1079"/>
    <x v="1073"/>
    <x v="6"/>
  </r>
  <r>
    <x v="353"/>
    <x v="5"/>
    <x v="5"/>
    <x v="6"/>
    <x v="5"/>
    <x v="6"/>
    <x v="6"/>
    <x v="0"/>
    <x v="0"/>
    <x v="0"/>
    <x v="0"/>
    <x v="0"/>
    <x v="0"/>
    <x v="1080"/>
    <x v="1074"/>
    <x v="6"/>
  </r>
  <r>
    <x v="353"/>
    <x v="5"/>
    <x v="5"/>
    <x v="5"/>
    <x v="5"/>
    <x v="6"/>
    <x v="6"/>
    <x v="0"/>
    <x v="0"/>
    <x v="0"/>
    <x v="0"/>
    <x v="0"/>
    <x v="0"/>
    <x v="1031"/>
    <x v="1075"/>
    <x v="6"/>
  </r>
  <r>
    <x v="353"/>
    <x v="5"/>
    <x v="5"/>
    <x v="6"/>
    <x v="5"/>
    <x v="6"/>
    <x v="6"/>
    <x v="0"/>
    <x v="0"/>
    <x v="0"/>
    <x v="0"/>
    <x v="0"/>
    <x v="0"/>
    <x v="1081"/>
    <x v="1076"/>
    <x v="6"/>
  </r>
  <r>
    <x v="353"/>
    <x v="5"/>
    <x v="5"/>
    <x v="5"/>
    <x v="5"/>
    <x v="6"/>
    <x v="6"/>
    <x v="0"/>
    <x v="0"/>
    <x v="0"/>
    <x v="0"/>
    <x v="0"/>
    <x v="0"/>
    <x v="1037"/>
    <x v="1077"/>
    <x v="6"/>
  </r>
  <r>
    <x v="353"/>
    <x v="5"/>
    <x v="5"/>
    <x v="6"/>
    <x v="5"/>
    <x v="6"/>
    <x v="6"/>
    <x v="0"/>
    <x v="0"/>
    <x v="0"/>
    <x v="0"/>
    <x v="0"/>
    <x v="0"/>
    <x v="1082"/>
    <x v="1078"/>
    <x v="6"/>
  </r>
  <r>
    <x v="353"/>
    <x v="5"/>
    <x v="5"/>
    <x v="5"/>
    <x v="5"/>
    <x v="6"/>
    <x v="6"/>
    <x v="0"/>
    <x v="0"/>
    <x v="0"/>
    <x v="0"/>
    <x v="0"/>
    <x v="0"/>
    <x v="1083"/>
    <x v="1079"/>
    <x v="6"/>
  </r>
  <r>
    <x v="353"/>
    <x v="5"/>
    <x v="5"/>
    <x v="5"/>
    <x v="5"/>
    <x v="6"/>
    <x v="6"/>
    <x v="0"/>
    <x v="0"/>
    <x v="0"/>
    <x v="0"/>
    <x v="0"/>
    <x v="0"/>
    <x v="1084"/>
    <x v="1080"/>
    <x v="6"/>
  </r>
  <r>
    <x v="353"/>
    <x v="5"/>
    <x v="5"/>
    <x v="6"/>
    <x v="5"/>
    <x v="6"/>
    <x v="6"/>
    <x v="0"/>
    <x v="0"/>
    <x v="0"/>
    <x v="0"/>
    <x v="0"/>
    <x v="0"/>
    <x v="1085"/>
    <x v="1081"/>
    <x v="6"/>
  </r>
  <r>
    <x v="353"/>
    <x v="5"/>
    <x v="5"/>
    <x v="5"/>
    <x v="5"/>
    <x v="6"/>
    <x v="6"/>
    <x v="0"/>
    <x v="0"/>
    <x v="0"/>
    <x v="0"/>
    <x v="0"/>
    <x v="0"/>
    <x v="1086"/>
    <x v="1082"/>
    <x v="6"/>
  </r>
  <r>
    <x v="353"/>
    <x v="5"/>
    <x v="5"/>
    <x v="6"/>
    <x v="5"/>
    <x v="6"/>
    <x v="6"/>
    <x v="0"/>
    <x v="0"/>
    <x v="0"/>
    <x v="0"/>
    <x v="0"/>
    <x v="0"/>
    <x v="1087"/>
    <x v="1083"/>
    <x v="6"/>
  </r>
  <r>
    <x v="353"/>
    <x v="5"/>
    <x v="5"/>
    <x v="5"/>
    <x v="5"/>
    <x v="6"/>
    <x v="6"/>
    <x v="0"/>
    <x v="0"/>
    <x v="0"/>
    <x v="0"/>
    <x v="0"/>
    <x v="0"/>
    <x v="1088"/>
    <x v="1084"/>
    <x v="6"/>
  </r>
  <r>
    <x v="354"/>
    <x v="31"/>
    <x v="35"/>
    <x v="16"/>
    <x v="5"/>
    <x v="6"/>
    <x v="6"/>
    <x v="0"/>
    <x v="0"/>
    <x v="0"/>
    <x v="0"/>
    <x v="0"/>
    <x v="0"/>
    <x v="818"/>
    <x v="1085"/>
    <x v="6"/>
  </r>
  <r>
    <x v="354"/>
    <x v="28"/>
    <x v="32"/>
    <x v="1"/>
    <x v="443"/>
    <x v="7"/>
    <x v="474"/>
    <x v="73"/>
    <x v="81"/>
    <x v="0"/>
    <x v="0"/>
    <x v="0"/>
    <x v="0"/>
    <x v="1089"/>
    <x v="1086"/>
    <x v="10"/>
  </r>
  <r>
    <x v="354"/>
    <x v="5"/>
    <x v="5"/>
    <x v="2"/>
    <x v="5"/>
    <x v="6"/>
    <x v="6"/>
    <x v="0"/>
    <x v="0"/>
    <x v="0"/>
    <x v="0"/>
    <x v="0"/>
    <x v="0"/>
    <x v="1090"/>
    <x v="1085"/>
    <x v="6"/>
  </r>
  <r>
    <x v="355"/>
    <x v="5"/>
    <x v="5"/>
    <x v="6"/>
    <x v="5"/>
    <x v="6"/>
    <x v="6"/>
    <x v="0"/>
    <x v="0"/>
    <x v="0"/>
    <x v="0"/>
    <x v="0"/>
    <x v="0"/>
    <x v="1091"/>
    <x v="1087"/>
    <x v="6"/>
  </r>
  <r>
    <x v="355"/>
    <x v="5"/>
    <x v="5"/>
    <x v="6"/>
    <x v="5"/>
    <x v="6"/>
    <x v="6"/>
    <x v="0"/>
    <x v="0"/>
    <x v="0"/>
    <x v="0"/>
    <x v="0"/>
    <x v="0"/>
    <x v="1092"/>
    <x v="0"/>
    <x v="6"/>
  </r>
  <r>
    <x v="356"/>
    <x v="25"/>
    <x v="28"/>
    <x v="1"/>
    <x v="444"/>
    <x v="31"/>
    <x v="475"/>
    <x v="49"/>
    <x v="310"/>
    <x v="0"/>
    <x v="0"/>
    <x v="0"/>
    <x v="0"/>
    <x v="1093"/>
    <x v="1088"/>
    <x v="75"/>
  </r>
  <r>
    <x v="356"/>
    <x v="28"/>
    <x v="32"/>
    <x v="8"/>
    <x v="445"/>
    <x v="7"/>
    <x v="476"/>
    <x v="273"/>
    <x v="54"/>
    <x v="209"/>
    <x v="0"/>
    <x v="0"/>
    <x v="0"/>
    <x v="1094"/>
    <x v="1089"/>
    <x v="6"/>
  </r>
  <r>
    <x v="356"/>
    <x v="5"/>
    <x v="5"/>
    <x v="2"/>
    <x v="5"/>
    <x v="6"/>
    <x v="6"/>
    <x v="0"/>
    <x v="0"/>
    <x v="0"/>
    <x v="0"/>
    <x v="0"/>
    <x v="0"/>
    <x v="1095"/>
    <x v="1090"/>
    <x v="6"/>
  </r>
  <r>
    <x v="356"/>
    <x v="5"/>
    <x v="5"/>
    <x v="6"/>
    <x v="5"/>
    <x v="6"/>
    <x v="6"/>
    <x v="0"/>
    <x v="0"/>
    <x v="0"/>
    <x v="0"/>
    <x v="0"/>
    <x v="0"/>
    <x v="1096"/>
    <x v="1091"/>
    <x v="6"/>
  </r>
  <r>
    <x v="356"/>
    <x v="5"/>
    <x v="5"/>
    <x v="5"/>
    <x v="5"/>
    <x v="6"/>
    <x v="6"/>
    <x v="0"/>
    <x v="0"/>
    <x v="0"/>
    <x v="0"/>
    <x v="0"/>
    <x v="0"/>
    <x v="1097"/>
    <x v="1092"/>
    <x v="6"/>
  </r>
  <r>
    <x v="356"/>
    <x v="5"/>
    <x v="5"/>
    <x v="6"/>
    <x v="5"/>
    <x v="6"/>
    <x v="6"/>
    <x v="0"/>
    <x v="0"/>
    <x v="0"/>
    <x v="0"/>
    <x v="0"/>
    <x v="0"/>
    <x v="1098"/>
    <x v="1093"/>
    <x v="6"/>
  </r>
  <r>
    <x v="356"/>
    <x v="5"/>
    <x v="5"/>
    <x v="5"/>
    <x v="5"/>
    <x v="6"/>
    <x v="6"/>
    <x v="0"/>
    <x v="0"/>
    <x v="0"/>
    <x v="0"/>
    <x v="0"/>
    <x v="0"/>
    <x v="1099"/>
    <x v="1094"/>
    <x v="6"/>
  </r>
  <r>
    <x v="357"/>
    <x v="25"/>
    <x v="28"/>
    <x v="8"/>
    <x v="446"/>
    <x v="18"/>
    <x v="477"/>
    <x v="140"/>
    <x v="311"/>
    <x v="210"/>
    <x v="0"/>
    <x v="0"/>
    <x v="0"/>
    <x v="1100"/>
    <x v="1095"/>
    <x v="16"/>
  </r>
  <r>
    <x v="357"/>
    <x v="31"/>
    <x v="35"/>
    <x v="8"/>
    <x v="447"/>
    <x v="18"/>
    <x v="478"/>
    <x v="274"/>
    <x v="312"/>
    <x v="211"/>
    <x v="0"/>
    <x v="0"/>
    <x v="0"/>
    <x v="1101"/>
    <x v="1096"/>
    <x v="50"/>
  </r>
  <r>
    <x v="357"/>
    <x v="25"/>
    <x v="28"/>
    <x v="1"/>
    <x v="448"/>
    <x v="18"/>
    <x v="479"/>
    <x v="275"/>
    <x v="106"/>
    <x v="0"/>
    <x v="0"/>
    <x v="0"/>
    <x v="0"/>
    <x v="1102"/>
    <x v="1097"/>
    <x v="75"/>
  </r>
  <r>
    <x v="357"/>
    <x v="25"/>
    <x v="28"/>
    <x v="1"/>
    <x v="268"/>
    <x v="31"/>
    <x v="480"/>
    <x v="276"/>
    <x v="313"/>
    <x v="0"/>
    <x v="0"/>
    <x v="0"/>
    <x v="0"/>
    <x v="1103"/>
    <x v="1098"/>
    <x v="50"/>
  </r>
  <r>
    <x v="357"/>
    <x v="5"/>
    <x v="5"/>
    <x v="2"/>
    <x v="5"/>
    <x v="6"/>
    <x v="6"/>
    <x v="0"/>
    <x v="0"/>
    <x v="0"/>
    <x v="0"/>
    <x v="0"/>
    <x v="0"/>
    <x v="1104"/>
    <x v="1099"/>
    <x v="6"/>
  </r>
  <r>
    <x v="357"/>
    <x v="5"/>
    <x v="5"/>
    <x v="2"/>
    <x v="5"/>
    <x v="6"/>
    <x v="6"/>
    <x v="0"/>
    <x v="0"/>
    <x v="0"/>
    <x v="0"/>
    <x v="0"/>
    <x v="0"/>
    <x v="1105"/>
    <x v="1096"/>
    <x v="6"/>
  </r>
  <r>
    <x v="357"/>
    <x v="5"/>
    <x v="5"/>
    <x v="6"/>
    <x v="5"/>
    <x v="6"/>
    <x v="6"/>
    <x v="0"/>
    <x v="0"/>
    <x v="0"/>
    <x v="0"/>
    <x v="0"/>
    <x v="0"/>
    <x v="1106"/>
    <x v="1100"/>
    <x v="6"/>
  </r>
  <r>
    <x v="357"/>
    <x v="5"/>
    <x v="5"/>
    <x v="5"/>
    <x v="5"/>
    <x v="6"/>
    <x v="6"/>
    <x v="0"/>
    <x v="0"/>
    <x v="0"/>
    <x v="0"/>
    <x v="0"/>
    <x v="0"/>
    <x v="1107"/>
    <x v="1101"/>
    <x v="6"/>
  </r>
  <r>
    <x v="357"/>
    <x v="5"/>
    <x v="5"/>
    <x v="6"/>
    <x v="5"/>
    <x v="6"/>
    <x v="6"/>
    <x v="0"/>
    <x v="0"/>
    <x v="0"/>
    <x v="0"/>
    <x v="0"/>
    <x v="0"/>
    <x v="1108"/>
    <x v="1102"/>
    <x v="6"/>
  </r>
  <r>
    <x v="357"/>
    <x v="5"/>
    <x v="5"/>
    <x v="5"/>
    <x v="5"/>
    <x v="6"/>
    <x v="6"/>
    <x v="0"/>
    <x v="0"/>
    <x v="0"/>
    <x v="0"/>
    <x v="0"/>
    <x v="0"/>
    <x v="1109"/>
    <x v="1103"/>
    <x v="6"/>
  </r>
  <r>
    <x v="357"/>
    <x v="5"/>
    <x v="5"/>
    <x v="5"/>
    <x v="5"/>
    <x v="6"/>
    <x v="6"/>
    <x v="0"/>
    <x v="0"/>
    <x v="0"/>
    <x v="0"/>
    <x v="0"/>
    <x v="0"/>
    <x v="1110"/>
    <x v="1104"/>
    <x v="6"/>
  </r>
  <r>
    <x v="357"/>
    <x v="5"/>
    <x v="5"/>
    <x v="6"/>
    <x v="5"/>
    <x v="6"/>
    <x v="6"/>
    <x v="0"/>
    <x v="0"/>
    <x v="0"/>
    <x v="0"/>
    <x v="0"/>
    <x v="0"/>
    <x v="1111"/>
    <x v="1105"/>
    <x v="6"/>
  </r>
  <r>
    <x v="357"/>
    <x v="5"/>
    <x v="5"/>
    <x v="5"/>
    <x v="5"/>
    <x v="6"/>
    <x v="6"/>
    <x v="0"/>
    <x v="0"/>
    <x v="0"/>
    <x v="0"/>
    <x v="0"/>
    <x v="0"/>
    <x v="1112"/>
    <x v="1106"/>
    <x v="6"/>
  </r>
  <r>
    <x v="357"/>
    <x v="5"/>
    <x v="5"/>
    <x v="6"/>
    <x v="5"/>
    <x v="6"/>
    <x v="6"/>
    <x v="0"/>
    <x v="0"/>
    <x v="0"/>
    <x v="0"/>
    <x v="0"/>
    <x v="0"/>
    <x v="1113"/>
    <x v="1107"/>
    <x v="6"/>
  </r>
  <r>
    <x v="357"/>
    <x v="5"/>
    <x v="5"/>
    <x v="5"/>
    <x v="5"/>
    <x v="6"/>
    <x v="6"/>
    <x v="0"/>
    <x v="0"/>
    <x v="0"/>
    <x v="0"/>
    <x v="0"/>
    <x v="0"/>
    <x v="1114"/>
    <x v="1108"/>
    <x v="6"/>
  </r>
  <r>
    <x v="358"/>
    <x v="31"/>
    <x v="35"/>
    <x v="16"/>
    <x v="5"/>
    <x v="6"/>
    <x v="6"/>
    <x v="0"/>
    <x v="0"/>
    <x v="0"/>
    <x v="0"/>
    <x v="0"/>
    <x v="0"/>
    <x v="818"/>
    <x v="1109"/>
    <x v="6"/>
  </r>
  <r>
    <x v="359"/>
    <x v="5"/>
    <x v="5"/>
    <x v="6"/>
    <x v="5"/>
    <x v="6"/>
    <x v="6"/>
    <x v="0"/>
    <x v="0"/>
    <x v="0"/>
    <x v="0"/>
    <x v="0"/>
    <x v="0"/>
    <x v="1115"/>
    <x v="1110"/>
    <x v="6"/>
  </r>
  <r>
    <x v="359"/>
    <x v="5"/>
    <x v="5"/>
    <x v="5"/>
    <x v="5"/>
    <x v="6"/>
    <x v="6"/>
    <x v="0"/>
    <x v="0"/>
    <x v="0"/>
    <x v="0"/>
    <x v="0"/>
    <x v="0"/>
    <x v="1116"/>
    <x v="1111"/>
    <x v="6"/>
  </r>
  <r>
    <x v="360"/>
    <x v="21"/>
    <x v="23"/>
    <x v="4"/>
    <x v="449"/>
    <x v="2"/>
    <x v="481"/>
    <x v="2"/>
    <x v="235"/>
    <x v="212"/>
    <x v="7"/>
    <x v="0"/>
    <x v="0"/>
    <x v="1117"/>
    <x v="1112"/>
    <x v="76"/>
  </r>
  <r>
    <x v="361"/>
    <x v="5"/>
    <x v="5"/>
    <x v="13"/>
    <x v="5"/>
    <x v="6"/>
    <x v="6"/>
    <x v="0"/>
    <x v="0"/>
    <x v="0"/>
    <x v="0"/>
    <x v="0"/>
    <x v="0"/>
    <x v="1118"/>
    <x v="1113"/>
    <x v="6"/>
  </r>
  <r>
    <x v="361"/>
    <x v="5"/>
    <x v="5"/>
    <x v="6"/>
    <x v="5"/>
    <x v="6"/>
    <x v="6"/>
    <x v="0"/>
    <x v="0"/>
    <x v="0"/>
    <x v="0"/>
    <x v="0"/>
    <x v="0"/>
    <x v="1119"/>
    <x v="1114"/>
    <x v="6"/>
  </r>
  <r>
    <x v="361"/>
    <x v="5"/>
    <x v="5"/>
    <x v="6"/>
    <x v="5"/>
    <x v="6"/>
    <x v="6"/>
    <x v="0"/>
    <x v="0"/>
    <x v="0"/>
    <x v="0"/>
    <x v="0"/>
    <x v="0"/>
    <x v="1120"/>
    <x v="1115"/>
    <x v="6"/>
  </r>
  <r>
    <x v="361"/>
    <x v="5"/>
    <x v="5"/>
    <x v="6"/>
    <x v="5"/>
    <x v="6"/>
    <x v="6"/>
    <x v="0"/>
    <x v="0"/>
    <x v="0"/>
    <x v="0"/>
    <x v="0"/>
    <x v="0"/>
    <x v="1121"/>
    <x v="1116"/>
    <x v="6"/>
  </r>
  <r>
    <x v="361"/>
    <x v="5"/>
    <x v="5"/>
    <x v="6"/>
    <x v="5"/>
    <x v="6"/>
    <x v="6"/>
    <x v="0"/>
    <x v="0"/>
    <x v="0"/>
    <x v="0"/>
    <x v="0"/>
    <x v="0"/>
    <x v="1122"/>
    <x v="1117"/>
    <x v="6"/>
  </r>
  <r>
    <x v="361"/>
    <x v="5"/>
    <x v="5"/>
    <x v="6"/>
    <x v="5"/>
    <x v="6"/>
    <x v="6"/>
    <x v="0"/>
    <x v="0"/>
    <x v="0"/>
    <x v="0"/>
    <x v="0"/>
    <x v="0"/>
    <x v="1123"/>
    <x v="1118"/>
    <x v="6"/>
  </r>
  <r>
    <x v="361"/>
    <x v="5"/>
    <x v="5"/>
    <x v="6"/>
    <x v="5"/>
    <x v="6"/>
    <x v="6"/>
    <x v="0"/>
    <x v="0"/>
    <x v="0"/>
    <x v="0"/>
    <x v="0"/>
    <x v="0"/>
    <x v="1124"/>
    <x v="1119"/>
    <x v="6"/>
  </r>
  <r>
    <x v="362"/>
    <x v="5"/>
    <x v="5"/>
    <x v="12"/>
    <x v="5"/>
    <x v="6"/>
    <x v="6"/>
    <x v="0"/>
    <x v="0"/>
    <x v="0"/>
    <x v="0"/>
    <x v="0"/>
    <x v="0"/>
    <x v="1125"/>
    <x v="1120"/>
    <x v="6"/>
  </r>
  <r>
    <x v="363"/>
    <x v="5"/>
    <x v="5"/>
    <x v="12"/>
    <x v="5"/>
    <x v="6"/>
    <x v="6"/>
    <x v="0"/>
    <x v="0"/>
    <x v="0"/>
    <x v="0"/>
    <x v="0"/>
    <x v="0"/>
    <x v="398"/>
    <x v="1121"/>
    <x v="6"/>
  </r>
  <r>
    <x v="363"/>
    <x v="5"/>
    <x v="5"/>
    <x v="6"/>
    <x v="5"/>
    <x v="6"/>
    <x v="6"/>
    <x v="0"/>
    <x v="0"/>
    <x v="0"/>
    <x v="0"/>
    <x v="0"/>
    <x v="0"/>
    <x v="1126"/>
    <x v="1122"/>
    <x v="6"/>
  </r>
  <r>
    <x v="363"/>
    <x v="5"/>
    <x v="5"/>
    <x v="6"/>
    <x v="5"/>
    <x v="6"/>
    <x v="6"/>
    <x v="0"/>
    <x v="0"/>
    <x v="0"/>
    <x v="0"/>
    <x v="0"/>
    <x v="0"/>
    <x v="1127"/>
    <x v="1123"/>
    <x v="6"/>
  </r>
  <r>
    <x v="363"/>
    <x v="5"/>
    <x v="5"/>
    <x v="6"/>
    <x v="5"/>
    <x v="6"/>
    <x v="6"/>
    <x v="0"/>
    <x v="0"/>
    <x v="0"/>
    <x v="0"/>
    <x v="0"/>
    <x v="0"/>
    <x v="1128"/>
    <x v="1124"/>
    <x v="6"/>
  </r>
  <r>
    <x v="363"/>
    <x v="5"/>
    <x v="5"/>
    <x v="6"/>
    <x v="5"/>
    <x v="6"/>
    <x v="6"/>
    <x v="0"/>
    <x v="0"/>
    <x v="0"/>
    <x v="0"/>
    <x v="0"/>
    <x v="0"/>
    <x v="1122"/>
    <x v="1125"/>
    <x v="6"/>
  </r>
  <r>
    <x v="363"/>
    <x v="5"/>
    <x v="5"/>
    <x v="6"/>
    <x v="5"/>
    <x v="6"/>
    <x v="6"/>
    <x v="0"/>
    <x v="0"/>
    <x v="0"/>
    <x v="0"/>
    <x v="0"/>
    <x v="0"/>
    <x v="1129"/>
    <x v="1126"/>
    <x v="6"/>
  </r>
  <r>
    <x v="363"/>
    <x v="5"/>
    <x v="5"/>
    <x v="6"/>
    <x v="5"/>
    <x v="6"/>
    <x v="6"/>
    <x v="0"/>
    <x v="0"/>
    <x v="0"/>
    <x v="0"/>
    <x v="0"/>
    <x v="0"/>
    <x v="1130"/>
    <x v="1127"/>
    <x v="6"/>
  </r>
  <r>
    <x v="364"/>
    <x v="5"/>
    <x v="5"/>
    <x v="6"/>
    <x v="5"/>
    <x v="6"/>
    <x v="6"/>
    <x v="0"/>
    <x v="0"/>
    <x v="0"/>
    <x v="0"/>
    <x v="0"/>
    <x v="0"/>
    <x v="1131"/>
    <x v="1128"/>
    <x v="6"/>
  </r>
  <r>
    <x v="364"/>
    <x v="5"/>
    <x v="5"/>
    <x v="6"/>
    <x v="5"/>
    <x v="6"/>
    <x v="6"/>
    <x v="0"/>
    <x v="0"/>
    <x v="0"/>
    <x v="0"/>
    <x v="0"/>
    <x v="0"/>
    <x v="1050"/>
    <x v="1129"/>
    <x v="6"/>
  </r>
  <r>
    <x v="364"/>
    <x v="5"/>
    <x v="5"/>
    <x v="6"/>
    <x v="5"/>
    <x v="6"/>
    <x v="6"/>
    <x v="0"/>
    <x v="0"/>
    <x v="0"/>
    <x v="0"/>
    <x v="0"/>
    <x v="0"/>
    <x v="1132"/>
    <x v="1130"/>
    <x v="6"/>
  </r>
  <r>
    <x v="364"/>
    <x v="5"/>
    <x v="5"/>
    <x v="6"/>
    <x v="5"/>
    <x v="6"/>
    <x v="6"/>
    <x v="0"/>
    <x v="0"/>
    <x v="0"/>
    <x v="0"/>
    <x v="0"/>
    <x v="0"/>
    <x v="1133"/>
    <x v="1131"/>
    <x v="6"/>
  </r>
  <r>
    <x v="364"/>
    <x v="5"/>
    <x v="5"/>
    <x v="6"/>
    <x v="5"/>
    <x v="6"/>
    <x v="6"/>
    <x v="0"/>
    <x v="0"/>
    <x v="0"/>
    <x v="0"/>
    <x v="0"/>
    <x v="0"/>
    <x v="1134"/>
    <x v="1132"/>
    <x v="6"/>
  </r>
  <r>
    <x v="364"/>
    <x v="5"/>
    <x v="5"/>
    <x v="6"/>
    <x v="5"/>
    <x v="6"/>
    <x v="6"/>
    <x v="0"/>
    <x v="0"/>
    <x v="0"/>
    <x v="0"/>
    <x v="0"/>
    <x v="0"/>
    <x v="1135"/>
    <x v="1133"/>
    <x v="6"/>
  </r>
  <r>
    <x v="365"/>
    <x v="34"/>
    <x v="38"/>
    <x v="10"/>
    <x v="450"/>
    <x v="54"/>
    <x v="482"/>
    <x v="2"/>
    <x v="118"/>
    <x v="0"/>
    <x v="61"/>
    <x v="0"/>
    <x v="0"/>
    <x v="1136"/>
    <x v="1134"/>
    <x v="85"/>
  </r>
  <r>
    <x v="366"/>
    <x v="34"/>
    <x v="38"/>
    <x v="4"/>
    <x v="451"/>
    <x v="54"/>
    <x v="483"/>
    <x v="2"/>
    <x v="191"/>
    <x v="213"/>
    <x v="51"/>
    <x v="0"/>
    <x v="0"/>
    <x v="1137"/>
    <x v="1135"/>
    <x v="6"/>
  </r>
  <r>
    <x v="367"/>
    <x v="33"/>
    <x v="37"/>
    <x v="4"/>
    <x v="452"/>
    <x v="12"/>
    <x v="28"/>
    <x v="277"/>
    <x v="133"/>
    <x v="10"/>
    <x v="0"/>
    <x v="0"/>
    <x v="0"/>
    <x v="1138"/>
    <x v="1136"/>
    <x v="6"/>
  </r>
  <r>
    <x v="367"/>
    <x v="31"/>
    <x v="35"/>
    <x v="8"/>
    <x v="453"/>
    <x v="8"/>
    <x v="484"/>
    <x v="202"/>
    <x v="55"/>
    <x v="214"/>
    <x v="0"/>
    <x v="0"/>
    <x v="0"/>
    <x v="1139"/>
    <x v="1137"/>
    <x v="24"/>
  </r>
  <r>
    <x v="367"/>
    <x v="5"/>
    <x v="5"/>
    <x v="6"/>
    <x v="5"/>
    <x v="6"/>
    <x v="6"/>
    <x v="0"/>
    <x v="0"/>
    <x v="0"/>
    <x v="0"/>
    <x v="0"/>
    <x v="0"/>
    <x v="1140"/>
    <x v="1138"/>
    <x v="6"/>
  </r>
  <r>
    <x v="367"/>
    <x v="5"/>
    <x v="5"/>
    <x v="5"/>
    <x v="5"/>
    <x v="6"/>
    <x v="6"/>
    <x v="0"/>
    <x v="0"/>
    <x v="0"/>
    <x v="0"/>
    <x v="0"/>
    <x v="0"/>
    <x v="1141"/>
    <x v="1139"/>
    <x v="6"/>
  </r>
  <r>
    <x v="367"/>
    <x v="5"/>
    <x v="5"/>
    <x v="6"/>
    <x v="5"/>
    <x v="6"/>
    <x v="6"/>
    <x v="0"/>
    <x v="0"/>
    <x v="0"/>
    <x v="0"/>
    <x v="0"/>
    <x v="0"/>
    <x v="1142"/>
    <x v="1140"/>
    <x v="6"/>
  </r>
  <r>
    <x v="367"/>
    <x v="5"/>
    <x v="5"/>
    <x v="5"/>
    <x v="5"/>
    <x v="6"/>
    <x v="6"/>
    <x v="0"/>
    <x v="0"/>
    <x v="0"/>
    <x v="0"/>
    <x v="0"/>
    <x v="0"/>
    <x v="1143"/>
    <x v="1141"/>
    <x v="6"/>
  </r>
  <r>
    <x v="367"/>
    <x v="5"/>
    <x v="5"/>
    <x v="6"/>
    <x v="5"/>
    <x v="6"/>
    <x v="6"/>
    <x v="0"/>
    <x v="0"/>
    <x v="0"/>
    <x v="0"/>
    <x v="0"/>
    <x v="0"/>
    <x v="1058"/>
    <x v="1142"/>
    <x v="6"/>
  </r>
  <r>
    <x v="367"/>
    <x v="5"/>
    <x v="5"/>
    <x v="5"/>
    <x v="5"/>
    <x v="6"/>
    <x v="6"/>
    <x v="0"/>
    <x v="0"/>
    <x v="0"/>
    <x v="0"/>
    <x v="0"/>
    <x v="0"/>
    <x v="1144"/>
    <x v="1143"/>
    <x v="6"/>
  </r>
  <r>
    <x v="368"/>
    <x v="5"/>
    <x v="5"/>
    <x v="12"/>
    <x v="5"/>
    <x v="6"/>
    <x v="6"/>
    <x v="0"/>
    <x v="0"/>
    <x v="0"/>
    <x v="0"/>
    <x v="0"/>
    <x v="0"/>
    <x v="1125"/>
    <x v="1144"/>
    <x v="6"/>
  </r>
  <r>
    <x v="369"/>
    <x v="5"/>
    <x v="5"/>
    <x v="13"/>
    <x v="5"/>
    <x v="6"/>
    <x v="6"/>
    <x v="0"/>
    <x v="0"/>
    <x v="0"/>
    <x v="0"/>
    <x v="0"/>
    <x v="0"/>
    <x v="1145"/>
    <x v="1145"/>
    <x v="6"/>
  </r>
  <r>
    <x v="369"/>
    <x v="5"/>
    <x v="5"/>
    <x v="6"/>
    <x v="5"/>
    <x v="6"/>
    <x v="6"/>
    <x v="0"/>
    <x v="0"/>
    <x v="0"/>
    <x v="0"/>
    <x v="0"/>
    <x v="0"/>
    <x v="1146"/>
    <x v="1146"/>
    <x v="6"/>
  </r>
  <r>
    <x v="369"/>
    <x v="5"/>
    <x v="5"/>
    <x v="6"/>
    <x v="5"/>
    <x v="6"/>
    <x v="6"/>
    <x v="0"/>
    <x v="0"/>
    <x v="0"/>
    <x v="0"/>
    <x v="0"/>
    <x v="0"/>
    <x v="1147"/>
    <x v="1147"/>
    <x v="6"/>
  </r>
  <r>
    <x v="369"/>
    <x v="5"/>
    <x v="5"/>
    <x v="6"/>
    <x v="5"/>
    <x v="6"/>
    <x v="6"/>
    <x v="0"/>
    <x v="0"/>
    <x v="0"/>
    <x v="0"/>
    <x v="0"/>
    <x v="0"/>
    <x v="1148"/>
    <x v="1148"/>
    <x v="6"/>
  </r>
  <r>
    <x v="369"/>
    <x v="5"/>
    <x v="5"/>
    <x v="6"/>
    <x v="5"/>
    <x v="6"/>
    <x v="6"/>
    <x v="0"/>
    <x v="0"/>
    <x v="0"/>
    <x v="0"/>
    <x v="0"/>
    <x v="0"/>
    <x v="1149"/>
    <x v="1149"/>
    <x v="6"/>
  </r>
  <r>
    <x v="370"/>
    <x v="5"/>
    <x v="5"/>
    <x v="6"/>
    <x v="5"/>
    <x v="6"/>
    <x v="6"/>
    <x v="0"/>
    <x v="0"/>
    <x v="0"/>
    <x v="0"/>
    <x v="0"/>
    <x v="0"/>
    <x v="1150"/>
    <x v="1150"/>
    <x v="6"/>
  </r>
  <r>
    <x v="370"/>
    <x v="5"/>
    <x v="5"/>
    <x v="5"/>
    <x v="5"/>
    <x v="6"/>
    <x v="6"/>
    <x v="0"/>
    <x v="0"/>
    <x v="0"/>
    <x v="0"/>
    <x v="0"/>
    <x v="0"/>
    <x v="1151"/>
    <x v="1151"/>
    <x v="6"/>
  </r>
  <r>
    <x v="371"/>
    <x v="25"/>
    <x v="28"/>
    <x v="8"/>
    <x v="454"/>
    <x v="31"/>
    <x v="485"/>
    <x v="278"/>
    <x v="314"/>
    <x v="215"/>
    <x v="0"/>
    <x v="0"/>
    <x v="0"/>
    <x v="1152"/>
    <x v="1152"/>
    <x v="75"/>
  </r>
  <r>
    <x v="371"/>
    <x v="5"/>
    <x v="5"/>
    <x v="6"/>
    <x v="5"/>
    <x v="6"/>
    <x v="6"/>
    <x v="0"/>
    <x v="0"/>
    <x v="0"/>
    <x v="0"/>
    <x v="0"/>
    <x v="0"/>
    <x v="1153"/>
    <x v="1153"/>
    <x v="6"/>
  </r>
  <r>
    <x v="371"/>
    <x v="5"/>
    <x v="5"/>
    <x v="5"/>
    <x v="5"/>
    <x v="6"/>
    <x v="6"/>
    <x v="0"/>
    <x v="0"/>
    <x v="0"/>
    <x v="0"/>
    <x v="0"/>
    <x v="0"/>
    <x v="1154"/>
    <x v="1154"/>
    <x v="6"/>
  </r>
  <r>
    <x v="371"/>
    <x v="5"/>
    <x v="5"/>
    <x v="6"/>
    <x v="5"/>
    <x v="6"/>
    <x v="6"/>
    <x v="0"/>
    <x v="0"/>
    <x v="0"/>
    <x v="0"/>
    <x v="0"/>
    <x v="0"/>
    <x v="1155"/>
    <x v="1155"/>
    <x v="6"/>
  </r>
  <r>
    <x v="371"/>
    <x v="5"/>
    <x v="5"/>
    <x v="5"/>
    <x v="5"/>
    <x v="6"/>
    <x v="6"/>
    <x v="0"/>
    <x v="0"/>
    <x v="0"/>
    <x v="0"/>
    <x v="0"/>
    <x v="0"/>
    <x v="1156"/>
    <x v="1156"/>
    <x v="6"/>
  </r>
  <r>
    <x v="372"/>
    <x v="31"/>
    <x v="35"/>
    <x v="1"/>
    <x v="455"/>
    <x v="8"/>
    <x v="486"/>
    <x v="279"/>
    <x v="315"/>
    <x v="0"/>
    <x v="0"/>
    <x v="0"/>
    <x v="0"/>
    <x v="1157"/>
    <x v="1157"/>
    <x v="50"/>
  </r>
  <r>
    <x v="372"/>
    <x v="5"/>
    <x v="5"/>
    <x v="2"/>
    <x v="5"/>
    <x v="6"/>
    <x v="6"/>
    <x v="0"/>
    <x v="0"/>
    <x v="0"/>
    <x v="0"/>
    <x v="0"/>
    <x v="0"/>
    <x v="1158"/>
    <x v="1156"/>
    <x v="6"/>
  </r>
  <r>
    <x v="373"/>
    <x v="31"/>
    <x v="35"/>
    <x v="8"/>
    <x v="456"/>
    <x v="8"/>
    <x v="487"/>
    <x v="280"/>
    <x v="316"/>
    <x v="216"/>
    <x v="0"/>
    <x v="0"/>
    <x v="0"/>
    <x v="1159"/>
    <x v="1158"/>
    <x v="24"/>
  </r>
  <r>
    <x v="373"/>
    <x v="5"/>
    <x v="5"/>
    <x v="6"/>
    <x v="5"/>
    <x v="6"/>
    <x v="6"/>
    <x v="0"/>
    <x v="0"/>
    <x v="0"/>
    <x v="0"/>
    <x v="0"/>
    <x v="0"/>
    <x v="1160"/>
    <x v="1159"/>
    <x v="6"/>
  </r>
  <r>
    <x v="373"/>
    <x v="5"/>
    <x v="5"/>
    <x v="5"/>
    <x v="5"/>
    <x v="6"/>
    <x v="6"/>
    <x v="0"/>
    <x v="0"/>
    <x v="0"/>
    <x v="0"/>
    <x v="0"/>
    <x v="0"/>
    <x v="1161"/>
    <x v="1160"/>
    <x v="6"/>
  </r>
  <r>
    <x v="373"/>
    <x v="5"/>
    <x v="5"/>
    <x v="6"/>
    <x v="5"/>
    <x v="6"/>
    <x v="6"/>
    <x v="0"/>
    <x v="0"/>
    <x v="0"/>
    <x v="0"/>
    <x v="0"/>
    <x v="0"/>
    <x v="1162"/>
    <x v="1161"/>
    <x v="6"/>
  </r>
  <r>
    <x v="373"/>
    <x v="5"/>
    <x v="5"/>
    <x v="5"/>
    <x v="5"/>
    <x v="6"/>
    <x v="6"/>
    <x v="0"/>
    <x v="0"/>
    <x v="0"/>
    <x v="0"/>
    <x v="0"/>
    <x v="0"/>
    <x v="1163"/>
    <x v="1162"/>
    <x v="6"/>
  </r>
  <r>
    <x v="374"/>
    <x v="28"/>
    <x v="32"/>
    <x v="10"/>
    <x v="457"/>
    <x v="5"/>
    <x v="488"/>
    <x v="2"/>
    <x v="121"/>
    <x v="0"/>
    <x v="0"/>
    <x v="0"/>
    <x v="0"/>
    <x v="1164"/>
    <x v="1163"/>
    <x v="5"/>
  </r>
  <r>
    <x v="375"/>
    <x v="5"/>
    <x v="5"/>
    <x v="6"/>
    <x v="5"/>
    <x v="6"/>
    <x v="6"/>
    <x v="0"/>
    <x v="0"/>
    <x v="0"/>
    <x v="0"/>
    <x v="0"/>
    <x v="0"/>
    <x v="1165"/>
    <x v="1164"/>
    <x v="6"/>
  </r>
  <r>
    <x v="375"/>
    <x v="5"/>
    <x v="5"/>
    <x v="6"/>
    <x v="5"/>
    <x v="6"/>
    <x v="6"/>
    <x v="0"/>
    <x v="0"/>
    <x v="0"/>
    <x v="0"/>
    <x v="0"/>
    <x v="0"/>
    <x v="1166"/>
    <x v="1165"/>
    <x v="6"/>
  </r>
  <r>
    <x v="375"/>
    <x v="5"/>
    <x v="5"/>
    <x v="6"/>
    <x v="5"/>
    <x v="6"/>
    <x v="6"/>
    <x v="0"/>
    <x v="0"/>
    <x v="0"/>
    <x v="0"/>
    <x v="0"/>
    <x v="0"/>
    <x v="1167"/>
    <x v="1166"/>
    <x v="6"/>
  </r>
  <r>
    <x v="376"/>
    <x v="31"/>
    <x v="35"/>
    <x v="1"/>
    <x v="458"/>
    <x v="8"/>
    <x v="489"/>
    <x v="281"/>
    <x v="317"/>
    <x v="0"/>
    <x v="0"/>
    <x v="0"/>
    <x v="0"/>
    <x v="1168"/>
    <x v="1167"/>
    <x v="50"/>
  </r>
  <r>
    <x v="376"/>
    <x v="5"/>
    <x v="5"/>
    <x v="2"/>
    <x v="5"/>
    <x v="6"/>
    <x v="6"/>
    <x v="0"/>
    <x v="0"/>
    <x v="0"/>
    <x v="0"/>
    <x v="0"/>
    <x v="0"/>
    <x v="1169"/>
    <x v="1166"/>
    <x v="6"/>
  </r>
  <r>
    <x v="377"/>
    <x v="6"/>
    <x v="6"/>
    <x v="1"/>
    <x v="459"/>
    <x v="5"/>
    <x v="490"/>
    <x v="2"/>
    <x v="70"/>
    <x v="0"/>
    <x v="26"/>
    <x v="0"/>
    <x v="0"/>
    <x v="1170"/>
    <x v="1168"/>
    <x v="5"/>
  </r>
  <r>
    <x v="377"/>
    <x v="5"/>
    <x v="5"/>
    <x v="2"/>
    <x v="5"/>
    <x v="6"/>
    <x v="6"/>
    <x v="0"/>
    <x v="0"/>
    <x v="0"/>
    <x v="0"/>
    <x v="0"/>
    <x v="0"/>
    <x v="1171"/>
    <x v="1166"/>
    <x v="6"/>
  </r>
  <r>
    <x v="378"/>
    <x v="25"/>
    <x v="28"/>
    <x v="1"/>
    <x v="460"/>
    <x v="31"/>
    <x v="491"/>
    <x v="282"/>
    <x v="318"/>
    <x v="0"/>
    <x v="0"/>
    <x v="0"/>
    <x v="0"/>
    <x v="1172"/>
    <x v="1169"/>
    <x v="50"/>
  </r>
  <r>
    <x v="378"/>
    <x v="5"/>
    <x v="5"/>
    <x v="2"/>
    <x v="5"/>
    <x v="6"/>
    <x v="6"/>
    <x v="0"/>
    <x v="0"/>
    <x v="0"/>
    <x v="0"/>
    <x v="0"/>
    <x v="0"/>
    <x v="1173"/>
    <x v="1166"/>
    <x v="6"/>
  </r>
  <r>
    <x v="379"/>
    <x v="28"/>
    <x v="32"/>
    <x v="1"/>
    <x v="461"/>
    <x v="5"/>
    <x v="492"/>
    <x v="2"/>
    <x v="52"/>
    <x v="0"/>
    <x v="0"/>
    <x v="0"/>
    <x v="0"/>
    <x v="1174"/>
    <x v="1170"/>
    <x v="10"/>
  </r>
  <r>
    <x v="379"/>
    <x v="26"/>
    <x v="29"/>
    <x v="10"/>
    <x v="462"/>
    <x v="55"/>
    <x v="493"/>
    <x v="2"/>
    <x v="136"/>
    <x v="0"/>
    <x v="0"/>
    <x v="0"/>
    <x v="0"/>
    <x v="1175"/>
    <x v="1171"/>
    <x v="86"/>
  </r>
  <r>
    <x v="379"/>
    <x v="5"/>
    <x v="5"/>
    <x v="2"/>
    <x v="5"/>
    <x v="6"/>
    <x v="6"/>
    <x v="0"/>
    <x v="0"/>
    <x v="0"/>
    <x v="0"/>
    <x v="0"/>
    <x v="0"/>
    <x v="1176"/>
    <x v="1172"/>
    <x v="6"/>
  </r>
  <r>
    <x v="380"/>
    <x v="6"/>
    <x v="6"/>
    <x v="14"/>
    <x v="5"/>
    <x v="5"/>
    <x v="314"/>
    <x v="0"/>
    <x v="0"/>
    <x v="0"/>
    <x v="0"/>
    <x v="0"/>
    <x v="0"/>
    <x v="611"/>
    <x v="1173"/>
    <x v="6"/>
  </r>
  <r>
    <x v="381"/>
    <x v="5"/>
    <x v="5"/>
    <x v="6"/>
    <x v="5"/>
    <x v="6"/>
    <x v="6"/>
    <x v="0"/>
    <x v="0"/>
    <x v="0"/>
    <x v="0"/>
    <x v="0"/>
    <x v="0"/>
    <x v="1177"/>
    <x v="1174"/>
    <x v="6"/>
  </r>
  <r>
    <x v="381"/>
    <x v="5"/>
    <x v="5"/>
    <x v="6"/>
    <x v="5"/>
    <x v="6"/>
    <x v="6"/>
    <x v="0"/>
    <x v="0"/>
    <x v="0"/>
    <x v="0"/>
    <x v="0"/>
    <x v="0"/>
    <x v="1178"/>
    <x v="1175"/>
    <x v="6"/>
  </r>
  <r>
    <x v="381"/>
    <x v="5"/>
    <x v="5"/>
    <x v="6"/>
    <x v="5"/>
    <x v="6"/>
    <x v="6"/>
    <x v="0"/>
    <x v="0"/>
    <x v="0"/>
    <x v="0"/>
    <x v="0"/>
    <x v="0"/>
    <x v="1179"/>
    <x v="1176"/>
    <x v="6"/>
  </r>
  <r>
    <x v="381"/>
    <x v="5"/>
    <x v="5"/>
    <x v="6"/>
    <x v="5"/>
    <x v="6"/>
    <x v="6"/>
    <x v="0"/>
    <x v="0"/>
    <x v="0"/>
    <x v="0"/>
    <x v="0"/>
    <x v="0"/>
    <x v="1180"/>
    <x v="1177"/>
    <x v="6"/>
  </r>
  <r>
    <x v="381"/>
    <x v="5"/>
    <x v="5"/>
    <x v="6"/>
    <x v="5"/>
    <x v="6"/>
    <x v="6"/>
    <x v="0"/>
    <x v="0"/>
    <x v="0"/>
    <x v="0"/>
    <x v="0"/>
    <x v="0"/>
    <x v="1181"/>
    <x v="1178"/>
    <x v="6"/>
  </r>
  <r>
    <x v="381"/>
    <x v="5"/>
    <x v="5"/>
    <x v="6"/>
    <x v="5"/>
    <x v="6"/>
    <x v="6"/>
    <x v="0"/>
    <x v="0"/>
    <x v="0"/>
    <x v="0"/>
    <x v="0"/>
    <x v="0"/>
    <x v="1182"/>
    <x v="1179"/>
    <x v="6"/>
  </r>
  <r>
    <x v="381"/>
    <x v="5"/>
    <x v="5"/>
    <x v="6"/>
    <x v="5"/>
    <x v="6"/>
    <x v="6"/>
    <x v="0"/>
    <x v="0"/>
    <x v="0"/>
    <x v="0"/>
    <x v="0"/>
    <x v="0"/>
    <x v="1050"/>
    <x v="1180"/>
    <x v="6"/>
  </r>
  <r>
    <x v="382"/>
    <x v="31"/>
    <x v="35"/>
    <x v="14"/>
    <x v="5"/>
    <x v="6"/>
    <x v="494"/>
    <x v="0"/>
    <x v="0"/>
    <x v="0"/>
    <x v="0"/>
    <x v="0"/>
    <x v="0"/>
    <x v="1183"/>
    <x v="1181"/>
    <x v="6"/>
  </r>
  <r>
    <x v="383"/>
    <x v="28"/>
    <x v="32"/>
    <x v="14"/>
    <x v="5"/>
    <x v="6"/>
    <x v="495"/>
    <x v="0"/>
    <x v="0"/>
    <x v="0"/>
    <x v="0"/>
    <x v="0"/>
    <x v="0"/>
    <x v="1184"/>
    <x v="1182"/>
    <x v="6"/>
  </r>
  <r>
    <x v="384"/>
    <x v="5"/>
    <x v="5"/>
    <x v="13"/>
    <x v="5"/>
    <x v="6"/>
    <x v="6"/>
    <x v="0"/>
    <x v="0"/>
    <x v="0"/>
    <x v="0"/>
    <x v="0"/>
    <x v="0"/>
    <x v="1185"/>
    <x v="1183"/>
    <x v="6"/>
  </r>
  <r>
    <x v="384"/>
    <x v="5"/>
    <x v="5"/>
    <x v="6"/>
    <x v="5"/>
    <x v="6"/>
    <x v="6"/>
    <x v="0"/>
    <x v="0"/>
    <x v="0"/>
    <x v="0"/>
    <x v="0"/>
    <x v="0"/>
    <x v="1186"/>
    <x v="1184"/>
    <x v="6"/>
  </r>
  <r>
    <x v="384"/>
    <x v="5"/>
    <x v="5"/>
    <x v="6"/>
    <x v="5"/>
    <x v="6"/>
    <x v="6"/>
    <x v="0"/>
    <x v="0"/>
    <x v="0"/>
    <x v="0"/>
    <x v="0"/>
    <x v="0"/>
    <x v="1187"/>
    <x v="1185"/>
    <x v="6"/>
  </r>
  <r>
    <x v="384"/>
    <x v="5"/>
    <x v="5"/>
    <x v="6"/>
    <x v="5"/>
    <x v="6"/>
    <x v="6"/>
    <x v="0"/>
    <x v="0"/>
    <x v="0"/>
    <x v="0"/>
    <x v="0"/>
    <x v="0"/>
    <x v="1188"/>
    <x v="1186"/>
    <x v="6"/>
  </r>
  <r>
    <x v="384"/>
    <x v="5"/>
    <x v="5"/>
    <x v="6"/>
    <x v="5"/>
    <x v="6"/>
    <x v="6"/>
    <x v="0"/>
    <x v="0"/>
    <x v="0"/>
    <x v="0"/>
    <x v="0"/>
    <x v="0"/>
    <x v="1189"/>
    <x v="1187"/>
    <x v="6"/>
  </r>
  <r>
    <x v="384"/>
    <x v="5"/>
    <x v="5"/>
    <x v="6"/>
    <x v="5"/>
    <x v="6"/>
    <x v="6"/>
    <x v="0"/>
    <x v="0"/>
    <x v="0"/>
    <x v="0"/>
    <x v="0"/>
    <x v="0"/>
    <x v="1190"/>
    <x v="1188"/>
    <x v="6"/>
  </r>
  <r>
    <x v="384"/>
    <x v="5"/>
    <x v="5"/>
    <x v="6"/>
    <x v="5"/>
    <x v="6"/>
    <x v="6"/>
    <x v="0"/>
    <x v="0"/>
    <x v="0"/>
    <x v="0"/>
    <x v="0"/>
    <x v="0"/>
    <x v="1191"/>
    <x v="1189"/>
    <x v="6"/>
  </r>
  <r>
    <x v="384"/>
    <x v="5"/>
    <x v="5"/>
    <x v="6"/>
    <x v="5"/>
    <x v="6"/>
    <x v="6"/>
    <x v="0"/>
    <x v="0"/>
    <x v="0"/>
    <x v="0"/>
    <x v="0"/>
    <x v="0"/>
    <x v="1192"/>
    <x v="0"/>
    <x v="6"/>
  </r>
  <r>
    <x v="385"/>
    <x v="25"/>
    <x v="28"/>
    <x v="14"/>
    <x v="5"/>
    <x v="6"/>
    <x v="496"/>
    <x v="0"/>
    <x v="0"/>
    <x v="0"/>
    <x v="0"/>
    <x v="0"/>
    <x v="0"/>
    <x v="3"/>
    <x v="2"/>
    <x v="6"/>
  </r>
  <r>
    <x v="386"/>
    <x v="28"/>
    <x v="32"/>
    <x v="8"/>
    <x v="463"/>
    <x v="5"/>
    <x v="497"/>
    <x v="2"/>
    <x v="38"/>
    <x v="217"/>
    <x v="0"/>
    <x v="0"/>
    <x v="0"/>
    <x v="1193"/>
    <x v="1190"/>
    <x v="5"/>
  </r>
  <r>
    <x v="386"/>
    <x v="5"/>
    <x v="5"/>
    <x v="6"/>
    <x v="5"/>
    <x v="6"/>
    <x v="6"/>
    <x v="0"/>
    <x v="0"/>
    <x v="0"/>
    <x v="0"/>
    <x v="0"/>
    <x v="0"/>
    <x v="1194"/>
    <x v="1191"/>
    <x v="6"/>
  </r>
  <r>
    <x v="386"/>
    <x v="5"/>
    <x v="5"/>
    <x v="5"/>
    <x v="5"/>
    <x v="6"/>
    <x v="6"/>
    <x v="0"/>
    <x v="0"/>
    <x v="0"/>
    <x v="0"/>
    <x v="0"/>
    <x v="0"/>
    <x v="1195"/>
    <x v="1192"/>
    <x v="6"/>
  </r>
  <r>
    <x v="386"/>
    <x v="5"/>
    <x v="5"/>
    <x v="6"/>
    <x v="5"/>
    <x v="6"/>
    <x v="6"/>
    <x v="0"/>
    <x v="0"/>
    <x v="0"/>
    <x v="0"/>
    <x v="0"/>
    <x v="0"/>
    <x v="1196"/>
    <x v="1193"/>
    <x v="6"/>
  </r>
  <r>
    <x v="386"/>
    <x v="5"/>
    <x v="5"/>
    <x v="6"/>
    <x v="5"/>
    <x v="6"/>
    <x v="6"/>
    <x v="0"/>
    <x v="0"/>
    <x v="0"/>
    <x v="0"/>
    <x v="0"/>
    <x v="0"/>
    <x v="1197"/>
    <x v="1194"/>
    <x v="6"/>
  </r>
  <r>
    <x v="386"/>
    <x v="5"/>
    <x v="5"/>
    <x v="6"/>
    <x v="5"/>
    <x v="6"/>
    <x v="6"/>
    <x v="0"/>
    <x v="0"/>
    <x v="0"/>
    <x v="0"/>
    <x v="0"/>
    <x v="0"/>
    <x v="1198"/>
    <x v="1195"/>
    <x v="6"/>
  </r>
  <r>
    <x v="386"/>
    <x v="5"/>
    <x v="5"/>
    <x v="6"/>
    <x v="5"/>
    <x v="6"/>
    <x v="6"/>
    <x v="0"/>
    <x v="0"/>
    <x v="0"/>
    <x v="0"/>
    <x v="0"/>
    <x v="0"/>
    <x v="1199"/>
    <x v="0"/>
    <x v="6"/>
  </r>
  <r>
    <x v="387"/>
    <x v="28"/>
    <x v="32"/>
    <x v="1"/>
    <x v="464"/>
    <x v="5"/>
    <x v="498"/>
    <x v="2"/>
    <x v="52"/>
    <x v="0"/>
    <x v="0"/>
    <x v="0"/>
    <x v="0"/>
    <x v="1200"/>
    <x v="1196"/>
    <x v="10"/>
  </r>
  <r>
    <x v="387"/>
    <x v="5"/>
    <x v="5"/>
    <x v="2"/>
    <x v="5"/>
    <x v="6"/>
    <x v="6"/>
    <x v="0"/>
    <x v="0"/>
    <x v="0"/>
    <x v="0"/>
    <x v="0"/>
    <x v="0"/>
    <x v="1201"/>
    <x v="0"/>
    <x v="6"/>
  </r>
  <r>
    <x v="388"/>
    <x v="21"/>
    <x v="23"/>
    <x v="14"/>
    <x v="5"/>
    <x v="46"/>
    <x v="499"/>
    <x v="0"/>
    <x v="0"/>
    <x v="0"/>
    <x v="0"/>
    <x v="0"/>
    <x v="0"/>
    <x v="1202"/>
    <x v="1197"/>
    <x v="6"/>
  </r>
  <r>
    <x v="388"/>
    <x v="28"/>
    <x v="32"/>
    <x v="8"/>
    <x v="465"/>
    <x v="5"/>
    <x v="500"/>
    <x v="2"/>
    <x v="161"/>
    <x v="218"/>
    <x v="0"/>
    <x v="0"/>
    <x v="0"/>
    <x v="1203"/>
    <x v="1198"/>
    <x v="5"/>
  </r>
  <r>
    <x v="388"/>
    <x v="5"/>
    <x v="5"/>
    <x v="6"/>
    <x v="5"/>
    <x v="6"/>
    <x v="6"/>
    <x v="0"/>
    <x v="0"/>
    <x v="0"/>
    <x v="0"/>
    <x v="0"/>
    <x v="0"/>
    <x v="1204"/>
    <x v="1199"/>
    <x v="6"/>
  </r>
  <r>
    <x v="388"/>
    <x v="5"/>
    <x v="5"/>
    <x v="5"/>
    <x v="5"/>
    <x v="6"/>
    <x v="6"/>
    <x v="0"/>
    <x v="0"/>
    <x v="0"/>
    <x v="0"/>
    <x v="0"/>
    <x v="0"/>
    <x v="1205"/>
    <x v="1200"/>
    <x v="6"/>
  </r>
  <r>
    <x v="389"/>
    <x v="28"/>
    <x v="32"/>
    <x v="16"/>
    <x v="5"/>
    <x v="6"/>
    <x v="6"/>
    <x v="0"/>
    <x v="0"/>
    <x v="0"/>
    <x v="0"/>
    <x v="0"/>
    <x v="0"/>
    <x v="818"/>
    <x v="1201"/>
    <x v="6"/>
  </r>
  <r>
    <x v="389"/>
    <x v="28"/>
    <x v="32"/>
    <x v="16"/>
    <x v="5"/>
    <x v="6"/>
    <x v="6"/>
    <x v="0"/>
    <x v="0"/>
    <x v="0"/>
    <x v="0"/>
    <x v="0"/>
    <x v="0"/>
    <x v="818"/>
    <x v="1202"/>
    <x v="6"/>
  </r>
  <r>
    <x v="389"/>
    <x v="5"/>
    <x v="5"/>
    <x v="6"/>
    <x v="5"/>
    <x v="6"/>
    <x v="6"/>
    <x v="0"/>
    <x v="0"/>
    <x v="0"/>
    <x v="0"/>
    <x v="0"/>
    <x v="0"/>
    <x v="1206"/>
    <x v="1203"/>
    <x v="6"/>
  </r>
  <r>
    <x v="389"/>
    <x v="5"/>
    <x v="5"/>
    <x v="5"/>
    <x v="5"/>
    <x v="6"/>
    <x v="6"/>
    <x v="0"/>
    <x v="0"/>
    <x v="0"/>
    <x v="0"/>
    <x v="0"/>
    <x v="0"/>
    <x v="1207"/>
    <x v="1204"/>
    <x v="6"/>
  </r>
  <r>
    <x v="389"/>
    <x v="5"/>
    <x v="5"/>
    <x v="6"/>
    <x v="5"/>
    <x v="6"/>
    <x v="6"/>
    <x v="0"/>
    <x v="0"/>
    <x v="0"/>
    <x v="0"/>
    <x v="0"/>
    <x v="0"/>
    <x v="1208"/>
    <x v="1205"/>
    <x v="6"/>
  </r>
  <r>
    <x v="389"/>
    <x v="5"/>
    <x v="5"/>
    <x v="5"/>
    <x v="5"/>
    <x v="6"/>
    <x v="6"/>
    <x v="0"/>
    <x v="0"/>
    <x v="0"/>
    <x v="0"/>
    <x v="0"/>
    <x v="0"/>
    <x v="1209"/>
    <x v="1206"/>
    <x v="6"/>
  </r>
  <r>
    <x v="390"/>
    <x v="28"/>
    <x v="32"/>
    <x v="1"/>
    <x v="443"/>
    <x v="5"/>
    <x v="501"/>
    <x v="2"/>
    <x v="38"/>
    <x v="0"/>
    <x v="0"/>
    <x v="0"/>
    <x v="0"/>
    <x v="1210"/>
    <x v="1207"/>
    <x v="10"/>
  </r>
  <r>
    <x v="390"/>
    <x v="5"/>
    <x v="5"/>
    <x v="2"/>
    <x v="5"/>
    <x v="6"/>
    <x v="6"/>
    <x v="0"/>
    <x v="0"/>
    <x v="0"/>
    <x v="0"/>
    <x v="0"/>
    <x v="0"/>
    <x v="1211"/>
    <x v="1206"/>
    <x v="6"/>
  </r>
  <r>
    <x v="391"/>
    <x v="26"/>
    <x v="29"/>
    <x v="14"/>
    <x v="5"/>
    <x v="6"/>
    <x v="502"/>
    <x v="0"/>
    <x v="0"/>
    <x v="0"/>
    <x v="0"/>
    <x v="0"/>
    <x v="0"/>
    <x v="1212"/>
    <x v="1208"/>
    <x v="6"/>
  </r>
  <r>
    <x v="392"/>
    <x v="5"/>
    <x v="5"/>
    <x v="6"/>
    <x v="5"/>
    <x v="6"/>
    <x v="6"/>
    <x v="0"/>
    <x v="0"/>
    <x v="0"/>
    <x v="0"/>
    <x v="0"/>
    <x v="0"/>
    <x v="1213"/>
    <x v="1209"/>
    <x v="6"/>
  </r>
  <r>
    <x v="392"/>
    <x v="5"/>
    <x v="5"/>
    <x v="5"/>
    <x v="5"/>
    <x v="6"/>
    <x v="6"/>
    <x v="0"/>
    <x v="0"/>
    <x v="0"/>
    <x v="0"/>
    <x v="0"/>
    <x v="0"/>
    <x v="1214"/>
    <x v="1206"/>
    <x v="6"/>
  </r>
  <r>
    <x v="393"/>
    <x v="21"/>
    <x v="23"/>
    <x v="4"/>
    <x v="466"/>
    <x v="46"/>
    <x v="503"/>
    <x v="51"/>
    <x v="319"/>
    <x v="219"/>
    <x v="6"/>
    <x v="0"/>
    <x v="0"/>
    <x v="1215"/>
    <x v="1210"/>
    <x v="6"/>
  </r>
  <r>
    <x v="394"/>
    <x v="26"/>
    <x v="29"/>
    <x v="4"/>
    <x v="467"/>
    <x v="55"/>
    <x v="504"/>
    <x v="2"/>
    <x v="224"/>
    <x v="220"/>
    <x v="0"/>
    <x v="0"/>
    <x v="0"/>
    <x v="1216"/>
    <x v="1211"/>
    <x v="82"/>
  </r>
  <r>
    <x v="395"/>
    <x v="28"/>
    <x v="32"/>
    <x v="10"/>
    <x v="468"/>
    <x v="7"/>
    <x v="505"/>
    <x v="2"/>
    <x v="320"/>
    <x v="0"/>
    <x v="0"/>
    <x v="0"/>
    <x v="0"/>
    <x v="1217"/>
    <x v="1212"/>
    <x v="2"/>
  </r>
  <r>
    <x v="396"/>
    <x v="5"/>
    <x v="5"/>
    <x v="6"/>
    <x v="5"/>
    <x v="6"/>
    <x v="6"/>
    <x v="0"/>
    <x v="0"/>
    <x v="0"/>
    <x v="0"/>
    <x v="0"/>
    <x v="0"/>
    <x v="1218"/>
    <x v="1213"/>
    <x v="6"/>
  </r>
  <r>
    <x v="396"/>
    <x v="5"/>
    <x v="5"/>
    <x v="6"/>
    <x v="5"/>
    <x v="6"/>
    <x v="6"/>
    <x v="0"/>
    <x v="0"/>
    <x v="0"/>
    <x v="0"/>
    <x v="0"/>
    <x v="0"/>
    <x v="1219"/>
    <x v="1214"/>
    <x v="6"/>
  </r>
  <r>
    <x v="396"/>
    <x v="5"/>
    <x v="5"/>
    <x v="6"/>
    <x v="5"/>
    <x v="6"/>
    <x v="6"/>
    <x v="0"/>
    <x v="0"/>
    <x v="0"/>
    <x v="0"/>
    <x v="0"/>
    <x v="0"/>
    <x v="1220"/>
    <x v="1215"/>
    <x v="6"/>
  </r>
  <r>
    <x v="396"/>
    <x v="5"/>
    <x v="5"/>
    <x v="6"/>
    <x v="5"/>
    <x v="6"/>
    <x v="6"/>
    <x v="0"/>
    <x v="0"/>
    <x v="0"/>
    <x v="0"/>
    <x v="0"/>
    <x v="0"/>
    <x v="1221"/>
    <x v="1216"/>
    <x v="6"/>
  </r>
  <r>
    <x v="396"/>
    <x v="5"/>
    <x v="5"/>
    <x v="6"/>
    <x v="5"/>
    <x v="6"/>
    <x v="6"/>
    <x v="0"/>
    <x v="0"/>
    <x v="0"/>
    <x v="0"/>
    <x v="0"/>
    <x v="0"/>
    <x v="1222"/>
    <x v="1217"/>
    <x v="6"/>
  </r>
  <r>
    <x v="396"/>
    <x v="5"/>
    <x v="5"/>
    <x v="6"/>
    <x v="5"/>
    <x v="6"/>
    <x v="6"/>
    <x v="0"/>
    <x v="0"/>
    <x v="0"/>
    <x v="0"/>
    <x v="0"/>
    <x v="0"/>
    <x v="1223"/>
    <x v="1218"/>
    <x v="6"/>
  </r>
  <r>
    <x v="396"/>
    <x v="5"/>
    <x v="5"/>
    <x v="6"/>
    <x v="5"/>
    <x v="6"/>
    <x v="6"/>
    <x v="0"/>
    <x v="0"/>
    <x v="0"/>
    <x v="0"/>
    <x v="0"/>
    <x v="0"/>
    <x v="1224"/>
    <x v="1219"/>
    <x v="6"/>
  </r>
  <r>
    <x v="396"/>
    <x v="5"/>
    <x v="5"/>
    <x v="6"/>
    <x v="5"/>
    <x v="6"/>
    <x v="6"/>
    <x v="0"/>
    <x v="0"/>
    <x v="0"/>
    <x v="0"/>
    <x v="0"/>
    <x v="0"/>
    <x v="1225"/>
    <x v="1220"/>
    <x v="6"/>
  </r>
  <r>
    <x v="397"/>
    <x v="28"/>
    <x v="32"/>
    <x v="8"/>
    <x v="469"/>
    <x v="7"/>
    <x v="506"/>
    <x v="196"/>
    <x v="321"/>
    <x v="221"/>
    <x v="0"/>
    <x v="0"/>
    <x v="0"/>
    <x v="1226"/>
    <x v="1221"/>
    <x v="10"/>
  </r>
  <r>
    <x v="397"/>
    <x v="5"/>
    <x v="5"/>
    <x v="6"/>
    <x v="5"/>
    <x v="6"/>
    <x v="6"/>
    <x v="0"/>
    <x v="0"/>
    <x v="0"/>
    <x v="0"/>
    <x v="0"/>
    <x v="0"/>
    <x v="1227"/>
    <x v="1222"/>
    <x v="6"/>
  </r>
  <r>
    <x v="397"/>
    <x v="5"/>
    <x v="5"/>
    <x v="5"/>
    <x v="5"/>
    <x v="6"/>
    <x v="6"/>
    <x v="0"/>
    <x v="0"/>
    <x v="0"/>
    <x v="0"/>
    <x v="0"/>
    <x v="0"/>
    <x v="1228"/>
    <x v="1223"/>
    <x v="6"/>
  </r>
  <r>
    <x v="397"/>
    <x v="5"/>
    <x v="5"/>
    <x v="6"/>
    <x v="5"/>
    <x v="6"/>
    <x v="6"/>
    <x v="0"/>
    <x v="0"/>
    <x v="0"/>
    <x v="0"/>
    <x v="0"/>
    <x v="0"/>
    <x v="1229"/>
    <x v="1224"/>
    <x v="6"/>
  </r>
  <r>
    <x v="397"/>
    <x v="5"/>
    <x v="5"/>
    <x v="5"/>
    <x v="5"/>
    <x v="6"/>
    <x v="6"/>
    <x v="0"/>
    <x v="0"/>
    <x v="0"/>
    <x v="0"/>
    <x v="0"/>
    <x v="0"/>
    <x v="1230"/>
    <x v="1225"/>
    <x v="6"/>
  </r>
  <r>
    <x v="398"/>
    <x v="28"/>
    <x v="32"/>
    <x v="8"/>
    <x v="470"/>
    <x v="5"/>
    <x v="507"/>
    <x v="2"/>
    <x v="51"/>
    <x v="222"/>
    <x v="0"/>
    <x v="0"/>
    <x v="0"/>
    <x v="1231"/>
    <x v="1226"/>
    <x v="5"/>
  </r>
  <r>
    <x v="398"/>
    <x v="31"/>
    <x v="35"/>
    <x v="10"/>
    <x v="462"/>
    <x v="31"/>
    <x v="508"/>
    <x v="2"/>
    <x v="233"/>
    <x v="0"/>
    <x v="0"/>
    <x v="0"/>
    <x v="0"/>
    <x v="1232"/>
    <x v="1227"/>
    <x v="87"/>
  </r>
  <r>
    <x v="398"/>
    <x v="5"/>
    <x v="5"/>
    <x v="6"/>
    <x v="5"/>
    <x v="6"/>
    <x v="6"/>
    <x v="0"/>
    <x v="0"/>
    <x v="0"/>
    <x v="0"/>
    <x v="0"/>
    <x v="0"/>
    <x v="1233"/>
    <x v="1228"/>
    <x v="6"/>
  </r>
  <r>
    <x v="398"/>
    <x v="5"/>
    <x v="5"/>
    <x v="5"/>
    <x v="5"/>
    <x v="6"/>
    <x v="6"/>
    <x v="0"/>
    <x v="0"/>
    <x v="0"/>
    <x v="0"/>
    <x v="0"/>
    <x v="0"/>
    <x v="1234"/>
    <x v="1229"/>
    <x v="6"/>
  </r>
  <r>
    <x v="398"/>
    <x v="5"/>
    <x v="5"/>
    <x v="6"/>
    <x v="5"/>
    <x v="6"/>
    <x v="6"/>
    <x v="0"/>
    <x v="0"/>
    <x v="0"/>
    <x v="0"/>
    <x v="0"/>
    <x v="0"/>
    <x v="979"/>
    <x v="1230"/>
    <x v="6"/>
  </r>
  <r>
    <x v="398"/>
    <x v="5"/>
    <x v="5"/>
    <x v="5"/>
    <x v="5"/>
    <x v="6"/>
    <x v="6"/>
    <x v="0"/>
    <x v="0"/>
    <x v="0"/>
    <x v="0"/>
    <x v="0"/>
    <x v="0"/>
    <x v="1235"/>
    <x v="1231"/>
    <x v="6"/>
  </r>
  <r>
    <x v="399"/>
    <x v="28"/>
    <x v="32"/>
    <x v="8"/>
    <x v="471"/>
    <x v="5"/>
    <x v="509"/>
    <x v="2"/>
    <x v="116"/>
    <x v="223"/>
    <x v="0"/>
    <x v="0"/>
    <x v="0"/>
    <x v="1236"/>
    <x v="1232"/>
    <x v="6"/>
  </r>
  <r>
    <x v="399"/>
    <x v="5"/>
    <x v="5"/>
    <x v="6"/>
    <x v="5"/>
    <x v="6"/>
    <x v="6"/>
    <x v="0"/>
    <x v="0"/>
    <x v="0"/>
    <x v="0"/>
    <x v="0"/>
    <x v="0"/>
    <x v="1237"/>
    <x v="1233"/>
    <x v="6"/>
  </r>
  <r>
    <x v="399"/>
    <x v="5"/>
    <x v="5"/>
    <x v="5"/>
    <x v="5"/>
    <x v="6"/>
    <x v="6"/>
    <x v="0"/>
    <x v="0"/>
    <x v="0"/>
    <x v="0"/>
    <x v="0"/>
    <x v="0"/>
    <x v="1238"/>
    <x v="1234"/>
    <x v="6"/>
  </r>
  <r>
    <x v="399"/>
    <x v="5"/>
    <x v="5"/>
    <x v="6"/>
    <x v="5"/>
    <x v="6"/>
    <x v="6"/>
    <x v="0"/>
    <x v="0"/>
    <x v="0"/>
    <x v="0"/>
    <x v="0"/>
    <x v="0"/>
    <x v="1239"/>
    <x v="1235"/>
    <x v="6"/>
  </r>
  <r>
    <x v="399"/>
    <x v="5"/>
    <x v="5"/>
    <x v="5"/>
    <x v="5"/>
    <x v="6"/>
    <x v="6"/>
    <x v="0"/>
    <x v="0"/>
    <x v="0"/>
    <x v="0"/>
    <x v="0"/>
    <x v="0"/>
    <x v="1240"/>
    <x v="1236"/>
    <x v="6"/>
  </r>
  <r>
    <x v="400"/>
    <x v="6"/>
    <x v="6"/>
    <x v="4"/>
    <x v="472"/>
    <x v="5"/>
    <x v="510"/>
    <x v="2"/>
    <x v="167"/>
    <x v="224"/>
    <x v="26"/>
    <x v="0"/>
    <x v="0"/>
    <x v="1241"/>
    <x v="1237"/>
    <x v="6"/>
  </r>
  <r>
    <x v="401"/>
    <x v="6"/>
    <x v="6"/>
    <x v="16"/>
    <x v="5"/>
    <x v="6"/>
    <x v="6"/>
    <x v="0"/>
    <x v="0"/>
    <x v="0"/>
    <x v="0"/>
    <x v="0"/>
    <x v="0"/>
    <x v="209"/>
    <x v="1238"/>
    <x v="6"/>
  </r>
  <r>
    <x v="402"/>
    <x v="5"/>
    <x v="5"/>
    <x v="6"/>
    <x v="5"/>
    <x v="6"/>
    <x v="6"/>
    <x v="0"/>
    <x v="0"/>
    <x v="0"/>
    <x v="0"/>
    <x v="0"/>
    <x v="0"/>
    <x v="1242"/>
    <x v="1239"/>
    <x v="6"/>
  </r>
  <r>
    <x v="402"/>
    <x v="5"/>
    <x v="5"/>
    <x v="5"/>
    <x v="5"/>
    <x v="6"/>
    <x v="6"/>
    <x v="0"/>
    <x v="0"/>
    <x v="0"/>
    <x v="0"/>
    <x v="0"/>
    <x v="0"/>
    <x v="1243"/>
    <x v="1240"/>
    <x v="6"/>
  </r>
  <r>
    <x v="403"/>
    <x v="25"/>
    <x v="28"/>
    <x v="8"/>
    <x v="473"/>
    <x v="31"/>
    <x v="511"/>
    <x v="156"/>
    <x v="246"/>
    <x v="225"/>
    <x v="0"/>
    <x v="0"/>
    <x v="0"/>
    <x v="1244"/>
    <x v="1241"/>
    <x v="75"/>
  </r>
  <r>
    <x v="403"/>
    <x v="31"/>
    <x v="35"/>
    <x v="4"/>
    <x v="474"/>
    <x v="31"/>
    <x v="512"/>
    <x v="2"/>
    <x v="240"/>
    <x v="226"/>
    <x v="0"/>
    <x v="0"/>
    <x v="0"/>
    <x v="1245"/>
    <x v="1242"/>
    <x v="50"/>
  </r>
  <r>
    <x v="403"/>
    <x v="31"/>
    <x v="35"/>
    <x v="10"/>
    <x v="475"/>
    <x v="31"/>
    <x v="513"/>
    <x v="2"/>
    <x v="253"/>
    <x v="0"/>
    <x v="0"/>
    <x v="0"/>
    <x v="0"/>
    <x v="1246"/>
    <x v="1243"/>
    <x v="87"/>
  </r>
  <r>
    <x v="403"/>
    <x v="6"/>
    <x v="6"/>
    <x v="1"/>
    <x v="476"/>
    <x v="5"/>
    <x v="514"/>
    <x v="2"/>
    <x v="226"/>
    <x v="0"/>
    <x v="48"/>
    <x v="0"/>
    <x v="0"/>
    <x v="1247"/>
    <x v="1244"/>
    <x v="5"/>
  </r>
  <r>
    <x v="403"/>
    <x v="5"/>
    <x v="5"/>
    <x v="2"/>
    <x v="5"/>
    <x v="6"/>
    <x v="6"/>
    <x v="0"/>
    <x v="0"/>
    <x v="0"/>
    <x v="0"/>
    <x v="0"/>
    <x v="0"/>
    <x v="1248"/>
    <x v="1243"/>
    <x v="6"/>
  </r>
  <r>
    <x v="403"/>
    <x v="5"/>
    <x v="5"/>
    <x v="6"/>
    <x v="5"/>
    <x v="6"/>
    <x v="6"/>
    <x v="0"/>
    <x v="0"/>
    <x v="0"/>
    <x v="0"/>
    <x v="0"/>
    <x v="0"/>
    <x v="1249"/>
    <x v="1245"/>
    <x v="6"/>
  </r>
  <r>
    <x v="403"/>
    <x v="5"/>
    <x v="5"/>
    <x v="5"/>
    <x v="5"/>
    <x v="6"/>
    <x v="6"/>
    <x v="0"/>
    <x v="0"/>
    <x v="0"/>
    <x v="0"/>
    <x v="0"/>
    <x v="0"/>
    <x v="1250"/>
    <x v="1246"/>
    <x v="6"/>
  </r>
  <r>
    <x v="403"/>
    <x v="5"/>
    <x v="5"/>
    <x v="6"/>
    <x v="5"/>
    <x v="6"/>
    <x v="6"/>
    <x v="0"/>
    <x v="0"/>
    <x v="0"/>
    <x v="0"/>
    <x v="0"/>
    <x v="0"/>
    <x v="1251"/>
    <x v="1247"/>
    <x v="6"/>
  </r>
  <r>
    <x v="403"/>
    <x v="5"/>
    <x v="5"/>
    <x v="5"/>
    <x v="5"/>
    <x v="6"/>
    <x v="6"/>
    <x v="0"/>
    <x v="0"/>
    <x v="0"/>
    <x v="0"/>
    <x v="0"/>
    <x v="0"/>
    <x v="1252"/>
    <x v="1248"/>
    <x v="6"/>
  </r>
  <r>
    <x v="404"/>
    <x v="31"/>
    <x v="35"/>
    <x v="4"/>
    <x v="425"/>
    <x v="31"/>
    <x v="515"/>
    <x v="2"/>
    <x v="322"/>
    <x v="227"/>
    <x v="0"/>
    <x v="0"/>
    <x v="0"/>
    <x v="1253"/>
    <x v="1249"/>
    <x v="50"/>
  </r>
  <r>
    <x v="404"/>
    <x v="6"/>
    <x v="6"/>
    <x v="8"/>
    <x v="477"/>
    <x v="5"/>
    <x v="516"/>
    <x v="2"/>
    <x v="226"/>
    <x v="228"/>
    <x v="48"/>
    <x v="0"/>
    <x v="0"/>
    <x v="1254"/>
    <x v="1250"/>
    <x v="6"/>
  </r>
  <r>
    <x v="404"/>
    <x v="5"/>
    <x v="5"/>
    <x v="6"/>
    <x v="5"/>
    <x v="6"/>
    <x v="6"/>
    <x v="0"/>
    <x v="0"/>
    <x v="0"/>
    <x v="0"/>
    <x v="0"/>
    <x v="0"/>
    <x v="1255"/>
    <x v="1251"/>
    <x v="6"/>
  </r>
  <r>
    <x v="404"/>
    <x v="5"/>
    <x v="5"/>
    <x v="5"/>
    <x v="5"/>
    <x v="6"/>
    <x v="6"/>
    <x v="0"/>
    <x v="0"/>
    <x v="0"/>
    <x v="0"/>
    <x v="0"/>
    <x v="0"/>
    <x v="1256"/>
    <x v="1252"/>
    <x v="6"/>
  </r>
  <r>
    <x v="405"/>
    <x v="5"/>
    <x v="5"/>
    <x v="13"/>
    <x v="5"/>
    <x v="6"/>
    <x v="6"/>
    <x v="0"/>
    <x v="0"/>
    <x v="0"/>
    <x v="0"/>
    <x v="0"/>
    <x v="0"/>
    <x v="1257"/>
    <x v="1253"/>
    <x v="6"/>
  </r>
  <r>
    <x v="405"/>
    <x v="5"/>
    <x v="5"/>
    <x v="6"/>
    <x v="5"/>
    <x v="6"/>
    <x v="6"/>
    <x v="0"/>
    <x v="0"/>
    <x v="0"/>
    <x v="0"/>
    <x v="0"/>
    <x v="0"/>
    <x v="1258"/>
    <x v="1254"/>
    <x v="6"/>
  </r>
  <r>
    <x v="405"/>
    <x v="5"/>
    <x v="5"/>
    <x v="6"/>
    <x v="5"/>
    <x v="6"/>
    <x v="6"/>
    <x v="0"/>
    <x v="0"/>
    <x v="0"/>
    <x v="0"/>
    <x v="0"/>
    <x v="0"/>
    <x v="1259"/>
    <x v="1255"/>
    <x v="6"/>
  </r>
  <r>
    <x v="405"/>
    <x v="5"/>
    <x v="5"/>
    <x v="6"/>
    <x v="5"/>
    <x v="6"/>
    <x v="6"/>
    <x v="0"/>
    <x v="0"/>
    <x v="0"/>
    <x v="0"/>
    <x v="0"/>
    <x v="0"/>
    <x v="1260"/>
    <x v="1256"/>
    <x v="6"/>
  </r>
  <r>
    <x v="405"/>
    <x v="5"/>
    <x v="5"/>
    <x v="6"/>
    <x v="5"/>
    <x v="6"/>
    <x v="6"/>
    <x v="0"/>
    <x v="0"/>
    <x v="0"/>
    <x v="0"/>
    <x v="0"/>
    <x v="0"/>
    <x v="1261"/>
    <x v="1257"/>
    <x v="6"/>
  </r>
  <r>
    <x v="405"/>
    <x v="5"/>
    <x v="5"/>
    <x v="6"/>
    <x v="5"/>
    <x v="6"/>
    <x v="6"/>
    <x v="0"/>
    <x v="0"/>
    <x v="0"/>
    <x v="0"/>
    <x v="0"/>
    <x v="0"/>
    <x v="1262"/>
    <x v="1258"/>
    <x v="6"/>
  </r>
  <r>
    <x v="406"/>
    <x v="28"/>
    <x v="32"/>
    <x v="10"/>
    <x v="463"/>
    <x v="5"/>
    <x v="497"/>
    <x v="2"/>
    <x v="38"/>
    <x v="0"/>
    <x v="0"/>
    <x v="0"/>
    <x v="0"/>
    <x v="1263"/>
    <x v="1259"/>
    <x v="5"/>
  </r>
  <r>
    <x v="407"/>
    <x v="5"/>
    <x v="5"/>
    <x v="12"/>
    <x v="5"/>
    <x v="6"/>
    <x v="6"/>
    <x v="0"/>
    <x v="0"/>
    <x v="0"/>
    <x v="0"/>
    <x v="0"/>
    <x v="0"/>
    <x v="1125"/>
    <x v="1260"/>
    <x v="6"/>
  </r>
  <r>
    <x v="408"/>
    <x v="28"/>
    <x v="32"/>
    <x v="10"/>
    <x v="478"/>
    <x v="5"/>
    <x v="517"/>
    <x v="2"/>
    <x v="182"/>
    <x v="0"/>
    <x v="0"/>
    <x v="0"/>
    <x v="0"/>
    <x v="1264"/>
    <x v="1261"/>
    <x v="10"/>
  </r>
  <r>
    <x v="409"/>
    <x v="5"/>
    <x v="5"/>
    <x v="6"/>
    <x v="5"/>
    <x v="6"/>
    <x v="6"/>
    <x v="0"/>
    <x v="0"/>
    <x v="0"/>
    <x v="0"/>
    <x v="0"/>
    <x v="0"/>
    <x v="1265"/>
    <x v="1262"/>
    <x v="6"/>
  </r>
  <r>
    <x v="409"/>
    <x v="5"/>
    <x v="5"/>
    <x v="6"/>
    <x v="5"/>
    <x v="6"/>
    <x v="6"/>
    <x v="0"/>
    <x v="0"/>
    <x v="0"/>
    <x v="0"/>
    <x v="0"/>
    <x v="0"/>
    <x v="1266"/>
    <x v="1263"/>
    <x v="6"/>
  </r>
  <r>
    <x v="409"/>
    <x v="5"/>
    <x v="5"/>
    <x v="6"/>
    <x v="5"/>
    <x v="6"/>
    <x v="6"/>
    <x v="0"/>
    <x v="0"/>
    <x v="0"/>
    <x v="0"/>
    <x v="0"/>
    <x v="0"/>
    <x v="1267"/>
    <x v="1264"/>
    <x v="6"/>
  </r>
  <r>
    <x v="409"/>
    <x v="5"/>
    <x v="5"/>
    <x v="6"/>
    <x v="5"/>
    <x v="6"/>
    <x v="6"/>
    <x v="0"/>
    <x v="0"/>
    <x v="0"/>
    <x v="0"/>
    <x v="0"/>
    <x v="0"/>
    <x v="1268"/>
    <x v="1265"/>
    <x v="6"/>
  </r>
  <r>
    <x v="409"/>
    <x v="5"/>
    <x v="5"/>
    <x v="6"/>
    <x v="5"/>
    <x v="6"/>
    <x v="6"/>
    <x v="0"/>
    <x v="0"/>
    <x v="0"/>
    <x v="0"/>
    <x v="0"/>
    <x v="0"/>
    <x v="1269"/>
    <x v="1266"/>
    <x v="6"/>
  </r>
  <r>
    <x v="410"/>
    <x v="28"/>
    <x v="32"/>
    <x v="1"/>
    <x v="6"/>
    <x v="7"/>
    <x v="7"/>
    <x v="217"/>
    <x v="323"/>
    <x v="0"/>
    <x v="0"/>
    <x v="0"/>
    <x v="0"/>
    <x v="1270"/>
    <x v="1267"/>
    <x v="2"/>
  </r>
  <r>
    <x v="410"/>
    <x v="5"/>
    <x v="5"/>
    <x v="2"/>
    <x v="5"/>
    <x v="6"/>
    <x v="6"/>
    <x v="0"/>
    <x v="0"/>
    <x v="0"/>
    <x v="0"/>
    <x v="0"/>
    <x v="0"/>
    <x v="1271"/>
    <x v="1266"/>
    <x v="6"/>
  </r>
  <r>
    <x v="411"/>
    <x v="31"/>
    <x v="35"/>
    <x v="1"/>
    <x v="441"/>
    <x v="8"/>
    <x v="518"/>
    <x v="66"/>
    <x v="268"/>
    <x v="0"/>
    <x v="0"/>
    <x v="0"/>
    <x v="0"/>
    <x v="1272"/>
    <x v="1268"/>
    <x v="88"/>
  </r>
  <r>
    <x v="411"/>
    <x v="33"/>
    <x v="37"/>
    <x v="1"/>
    <x v="479"/>
    <x v="5"/>
    <x v="519"/>
    <x v="2"/>
    <x v="208"/>
    <x v="0"/>
    <x v="0"/>
    <x v="0"/>
    <x v="0"/>
    <x v="1273"/>
    <x v="1269"/>
    <x v="5"/>
  </r>
  <r>
    <x v="411"/>
    <x v="5"/>
    <x v="5"/>
    <x v="2"/>
    <x v="5"/>
    <x v="6"/>
    <x v="6"/>
    <x v="0"/>
    <x v="0"/>
    <x v="0"/>
    <x v="0"/>
    <x v="0"/>
    <x v="0"/>
    <x v="1274"/>
    <x v="1270"/>
    <x v="6"/>
  </r>
  <r>
    <x v="411"/>
    <x v="5"/>
    <x v="5"/>
    <x v="2"/>
    <x v="5"/>
    <x v="6"/>
    <x v="6"/>
    <x v="0"/>
    <x v="0"/>
    <x v="0"/>
    <x v="0"/>
    <x v="0"/>
    <x v="0"/>
    <x v="1275"/>
    <x v="1266"/>
    <x v="6"/>
  </r>
  <r>
    <x v="412"/>
    <x v="5"/>
    <x v="5"/>
    <x v="3"/>
    <x v="5"/>
    <x v="6"/>
    <x v="6"/>
    <x v="0"/>
    <x v="0"/>
    <x v="0"/>
    <x v="0"/>
    <x v="0"/>
    <x v="0"/>
    <x v="1276"/>
    <x v="1271"/>
    <x v="6"/>
  </r>
  <r>
    <x v="412"/>
    <x v="28"/>
    <x v="32"/>
    <x v="8"/>
    <x v="480"/>
    <x v="7"/>
    <x v="520"/>
    <x v="283"/>
    <x v="324"/>
    <x v="229"/>
    <x v="0"/>
    <x v="0"/>
    <x v="0"/>
    <x v="1277"/>
    <x v="1272"/>
    <x v="10"/>
  </r>
  <r>
    <x v="412"/>
    <x v="28"/>
    <x v="32"/>
    <x v="1"/>
    <x v="481"/>
    <x v="7"/>
    <x v="521"/>
    <x v="284"/>
    <x v="325"/>
    <x v="0"/>
    <x v="0"/>
    <x v="0"/>
    <x v="0"/>
    <x v="1278"/>
    <x v="1273"/>
    <x v="2"/>
  </r>
  <r>
    <x v="412"/>
    <x v="5"/>
    <x v="5"/>
    <x v="2"/>
    <x v="5"/>
    <x v="6"/>
    <x v="6"/>
    <x v="0"/>
    <x v="0"/>
    <x v="0"/>
    <x v="0"/>
    <x v="0"/>
    <x v="0"/>
    <x v="1279"/>
    <x v="1272"/>
    <x v="6"/>
  </r>
  <r>
    <x v="412"/>
    <x v="5"/>
    <x v="5"/>
    <x v="6"/>
    <x v="5"/>
    <x v="6"/>
    <x v="6"/>
    <x v="0"/>
    <x v="0"/>
    <x v="0"/>
    <x v="0"/>
    <x v="0"/>
    <x v="0"/>
    <x v="1280"/>
    <x v="1274"/>
    <x v="6"/>
  </r>
  <r>
    <x v="412"/>
    <x v="5"/>
    <x v="5"/>
    <x v="5"/>
    <x v="5"/>
    <x v="6"/>
    <x v="6"/>
    <x v="0"/>
    <x v="0"/>
    <x v="0"/>
    <x v="0"/>
    <x v="0"/>
    <x v="0"/>
    <x v="1281"/>
    <x v="1275"/>
    <x v="6"/>
  </r>
  <r>
    <x v="412"/>
    <x v="5"/>
    <x v="5"/>
    <x v="6"/>
    <x v="5"/>
    <x v="6"/>
    <x v="6"/>
    <x v="0"/>
    <x v="0"/>
    <x v="0"/>
    <x v="0"/>
    <x v="0"/>
    <x v="0"/>
    <x v="1124"/>
    <x v="1276"/>
    <x v="6"/>
  </r>
  <r>
    <x v="412"/>
    <x v="5"/>
    <x v="5"/>
    <x v="5"/>
    <x v="5"/>
    <x v="6"/>
    <x v="6"/>
    <x v="0"/>
    <x v="0"/>
    <x v="0"/>
    <x v="0"/>
    <x v="0"/>
    <x v="0"/>
    <x v="1103"/>
    <x v="1277"/>
    <x v="6"/>
  </r>
  <r>
    <x v="412"/>
    <x v="5"/>
    <x v="5"/>
    <x v="6"/>
    <x v="5"/>
    <x v="6"/>
    <x v="6"/>
    <x v="0"/>
    <x v="0"/>
    <x v="0"/>
    <x v="0"/>
    <x v="0"/>
    <x v="0"/>
    <x v="1282"/>
    <x v="1278"/>
    <x v="6"/>
  </r>
  <r>
    <x v="412"/>
    <x v="5"/>
    <x v="5"/>
    <x v="5"/>
    <x v="5"/>
    <x v="6"/>
    <x v="6"/>
    <x v="0"/>
    <x v="0"/>
    <x v="0"/>
    <x v="0"/>
    <x v="0"/>
    <x v="0"/>
    <x v="1283"/>
    <x v="1279"/>
    <x v="6"/>
  </r>
  <r>
    <x v="413"/>
    <x v="26"/>
    <x v="29"/>
    <x v="4"/>
    <x v="482"/>
    <x v="18"/>
    <x v="522"/>
    <x v="285"/>
    <x v="326"/>
    <x v="230"/>
    <x v="0"/>
    <x v="0"/>
    <x v="0"/>
    <x v="1284"/>
    <x v="1280"/>
    <x v="89"/>
  </r>
  <r>
    <x v="414"/>
    <x v="10"/>
    <x v="10"/>
    <x v="10"/>
    <x v="483"/>
    <x v="31"/>
    <x v="523"/>
    <x v="0"/>
    <x v="0"/>
    <x v="0"/>
    <x v="0"/>
    <x v="0"/>
    <x v="0"/>
    <x v="1285"/>
    <x v="1281"/>
    <x v="16"/>
  </r>
  <r>
    <x v="415"/>
    <x v="33"/>
    <x v="37"/>
    <x v="8"/>
    <x v="484"/>
    <x v="5"/>
    <x v="524"/>
    <x v="2"/>
    <x v="214"/>
    <x v="231"/>
    <x v="0"/>
    <x v="0"/>
    <x v="0"/>
    <x v="1286"/>
    <x v="1282"/>
    <x v="6"/>
  </r>
  <r>
    <x v="415"/>
    <x v="5"/>
    <x v="5"/>
    <x v="6"/>
    <x v="5"/>
    <x v="6"/>
    <x v="6"/>
    <x v="0"/>
    <x v="0"/>
    <x v="0"/>
    <x v="0"/>
    <x v="0"/>
    <x v="0"/>
    <x v="581"/>
    <x v="1283"/>
    <x v="6"/>
  </r>
  <r>
    <x v="415"/>
    <x v="5"/>
    <x v="5"/>
    <x v="5"/>
    <x v="5"/>
    <x v="6"/>
    <x v="6"/>
    <x v="0"/>
    <x v="0"/>
    <x v="0"/>
    <x v="0"/>
    <x v="0"/>
    <x v="0"/>
    <x v="1287"/>
    <x v="1284"/>
    <x v="6"/>
  </r>
  <r>
    <x v="416"/>
    <x v="10"/>
    <x v="10"/>
    <x v="15"/>
    <x v="5"/>
    <x v="56"/>
    <x v="6"/>
    <x v="0"/>
    <x v="0"/>
    <x v="0"/>
    <x v="0"/>
    <x v="0"/>
    <x v="0"/>
    <x v="0"/>
    <x v="1284"/>
    <x v="90"/>
  </r>
  <r>
    <x v="416"/>
    <x v="5"/>
    <x v="5"/>
    <x v="6"/>
    <x v="5"/>
    <x v="6"/>
    <x v="6"/>
    <x v="0"/>
    <x v="0"/>
    <x v="0"/>
    <x v="0"/>
    <x v="0"/>
    <x v="0"/>
    <x v="1288"/>
    <x v="1285"/>
    <x v="6"/>
  </r>
  <r>
    <x v="416"/>
    <x v="5"/>
    <x v="5"/>
    <x v="6"/>
    <x v="5"/>
    <x v="6"/>
    <x v="6"/>
    <x v="0"/>
    <x v="0"/>
    <x v="0"/>
    <x v="0"/>
    <x v="0"/>
    <x v="0"/>
    <x v="1289"/>
    <x v="1286"/>
    <x v="6"/>
  </r>
  <r>
    <x v="416"/>
    <x v="5"/>
    <x v="5"/>
    <x v="6"/>
    <x v="5"/>
    <x v="6"/>
    <x v="6"/>
    <x v="0"/>
    <x v="0"/>
    <x v="0"/>
    <x v="0"/>
    <x v="0"/>
    <x v="0"/>
    <x v="1290"/>
    <x v="1287"/>
    <x v="6"/>
  </r>
  <r>
    <x v="416"/>
    <x v="5"/>
    <x v="5"/>
    <x v="6"/>
    <x v="5"/>
    <x v="6"/>
    <x v="6"/>
    <x v="0"/>
    <x v="0"/>
    <x v="0"/>
    <x v="0"/>
    <x v="0"/>
    <x v="0"/>
    <x v="1291"/>
    <x v="1288"/>
    <x v="6"/>
  </r>
  <r>
    <x v="416"/>
    <x v="5"/>
    <x v="5"/>
    <x v="6"/>
    <x v="5"/>
    <x v="6"/>
    <x v="6"/>
    <x v="0"/>
    <x v="0"/>
    <x v="0"/>
    <x v="0"/>
    <x v="0"/>
    <x v="0"/>
    <x v="1292"/>
    <x v="1289"/>
    <x v="6"/>
  </r>
  <r>
    <x v="416"/>
    <x v="5"/>
    <x v="5"/>
    <x v="6"/>
    <x v="5"/>
    <x v="6"/>
    <x v="6"/>
    <x v="0"/>
    <x v="0"/>
    <x v="0"/>
    <x v="0"/>
    <x v="0"/>
    <x v="0"/>
    <x v="1293"/>
    <x v="1290"/>
    <x v="6"/>
  </r>
  <r>
    <x v="416"/>
    <x v="5"/>
    <x v="5"/>
    <x v="6"/>
    <x v="5"/>
    <x v="6"/>
    <x v="6"/>
    <x v="0"/>
    <x v="0"/>
    <x v="0"/>
    <x v="0"/>
    <x v="0"/>
    <x v="0"/>
    <x v="239"/>
    <x v="1291"/>
    <x v="6"/>
  </r>
  <r>
    <x v="417"/>
    <x v="28"/>
    <x v="32"/>
    <x v="1"/>
    <x v="485"/>
    <x v="2"/>
    <x v="525"/>
    <x v="286"/>
    <x v="327"/>
    <x v="0"/>
    <x v="0"/>
    <x v="0"/>
    <x v="0"/>
    <x v="1294"/>
    <x v="1292"/>
    <x v="11"/>
  </r>
  <r>
    <x v="417"/>
    <x v="5"/>
    <x v="5"/>
    <x v="2"/>
    <x v="5"/>
    <x v="6"/>
    <x v="6"/>
    <x v="0"/>
    <x v="0"/>
    <x v="0"/>
    <x v="0"/>
    <x v="0"/>
    <x v="0"/>
    <x v="1295"/>
    <x v="1291"/>
    <x v="6"/>
  </r>
  <r>
    <x v="418"/>
    <x v="10"/>
    <x v="10"/>
    <x v="15"/>
    <x v="5"/>
    <x v="56"/>
    <x v="6"/>
    <x v="0"/>
    <x v="0"/>
    <x v="0"/>
    <x v="0"/>
    <x v="0"/>
    <x v="0"/>
    <x v="0"/>
    <x v="1291"/>
    <x v="91"/>
  </r>
  <r>
    <x v="419"/>
    <x v="28"/>
    <x v="32"/>
    <x v="8"/>
    <x v="486"/>
    <x v="2"/>
    <x v="526"/>
    <x v="287"/>
    <x v="328"/>
    <x v="232"/>
    <x v="0"/>
    <x v="0"/>
    <x v="0"/>
    <x v="1296"/>
    <x v="1293"/>
    <x v="2"/>
  </r>
  <r>
    <x v="419"/>
    <x v="31"/>
    <x v="35"/>
    <x v="8"/>
    <x v="487"/>
    <x v="8"/>
    <x v="282"/>
    <x v="288"/>
    <x v="329"/>
    <x v="233"/>
    <x v="0"/>
    <x v="0"/>
    <x v="0"/>
    <x v="1297"/>
    <x v="1294"/>
    <x v="50"/>
  </r>
  <r>
    <x v="419"/>
    <x v="5"/>
    <x v="5"/>
    <x v="6"/>
    <x v="5"/>
    <x v="6"/>
    <x v="6"/>
    <x v="0"/>
    <x v="0"/>
    <x v="0"/>
    <x v="0"/>
    <x v="0"/>
    <x v="0"/>
    <x v="1298"/>
    <x v="1295"/>
    <x v="6"/>
  </r>
  <r>
    <x v="419"/>
    <x v="5"/>
    <x v="5"/>
    <x v="5"/>
    <x v="5"/>
    <x v="6"/>
    <x v="6"/>
    <x v="0"/>
    <x v="0"/>
    <x v="0"/>
    <x v="0"/>
    <x v="0"/>
    <x v="0"/>
    <x v="1299"/>
    <x v="1296"/>
    <x v="6"/>
  </r>
  <r>
    <x v="419"/>
    <x v="5"/>
    <x v="5"/>
    <x v="6"/>
    <x v="5"/>
    <x v="6"/>
    <x v="6"/>
    <x v="0"/>
    <x v="0"/>
    <x v="0"/>
    <x v="0"/>
    <x v="0"/>
    <x v="0"/>
    <x v="1300"/>
    <x v="1297"/>
    <x v="6"/>
  </r>
  <r>
    <x v="419"/>
    <x v="5"/>
    <x v="5"/>
    <x v="5"/>
    <x v="5"/>
    <x v="6"/>
    <x v="6"/>
    <x v="0"/>
    <x v="0"/>
    <x v="0"/>
    <x v="0"/>
    <x v="0"/>
    <x v="0"/>
    <x v="1210"/>
    <x v="1298"/>
    <x v="6"/>
  </r>
  <r>
    <x v="419"/>
    <x v="5"/>
    <x v="5"/>
    <x v="6"/>
    <x v="5"/>
    <x v="6"/>
    <x v="6"/>
    <x v="0"/>
    <x v="0"/>
    <x v="0"/>
    <x v="0"/>
    <x v="0"/>
    <x v="0"/>
    <x v="1301"/>
    <x v="1299"/>
    <x v="6"/>
  </r>
  <r>
    <x v="419"/>
    <x v="5"/>
    <x v="5"/>
    <x v="5"/>
    <x v="5"/>
    <x v="6"/>
    <x v="6"/>
    <x v="0"/>
    <x v="0"/>
    <x v="0"/>
    <x v="0"/>
    <x v="0"/>
    <x v="0"/>
    <x v="1247"/>
    <x v="1300"/>
    <x v="6"/>
  </r>
  <r>
    <x v="419"/>
    <x v="5"/>
    <x v="5"/>
    <x v="6"/>
    <x v="5"/>
    <x v="6"/>
    <x v="6"/>
    <x v="0"/>
    <x v="0"/>
    <x v="0"/>
    <x v="0"/>
    <x v="0"/>
    <x v="0"/>
    <x v="1302"/>
    <x v="1301"/>
    <x v="6"/>
  </r>
  <r>
    <x v="419"/>
    <x v="5"/>
    <x v="5"/>
    <x v="5"/>
    <x v="5"/>
    <x v="6"/>
    <x v="6"/>
    <x v="0"/>
    <x v="0"/>
    <x v="0"/>
    <x v="0"/>
    <x v="0"/>
    <x v="0"/>
    <x v="1270"/>
    <x v="1302"/>
    <x v="6"/>
  </r>
  <r>
    <x v="419"/>
    <x v="5"/>
    <x v="5"/>
    <x v="6"/>
    <x v="5"/>
    <x v="6"/>
    <x v="6"/>
    <x v="0"/>
    <x v="0"/>
    <x v="0"/>
    <x v="0"/>
    <x v="0"/>
    <x v="0"/>
    <x v="1303"/>
    <x v="1303"/>
    <x v="6"/>
  </r>
  <r>
    <x v="419"/>
    <x v="5"/>
    <x v="5"/>
    <x v="5"/>
    <x v="5"/>
    <x v="6"/>
    <x v="6"/>
    <x v="0"/>
    <x v="0"/>
    <x v="0"/>
    <x v="0"/>
    <x v="0"/>
    <x v="0"/>
    <x v="1304"/>
    <x v="1304"/>
    <x v="6"/>
  </r>
  <r>
    <x v="419"/>
    <x v="5"/>
    <x v="5"/>
    <x v="5"/>
    <x v="5"/>
    <x v="6"/>
    <x v="6"/>
    <x v="0"/>
    <x v="0"/>
    <x v="0"/>
    <x v="0"/>
    <x v="0"/>
    <x v="0"/>
    <x v="1305"/>
    <x v="1305"/>
    <x v="6"/>
  </r>
  <r>
    <x v="419"/>
    <x v="5"/>
    <x v="5"/>
    <x v="6"/>
    <x v="5"/>
    <x v="6"/>
    <x v="6"/>
    <x v="0"/>
    <x v="0"/>
    <x v="0"/>
    <x v="0"/>
    <x v="0"/>
    <x v="0"/>
    <x v="1306"/>
    <x v="1306"/>
    <x v="6"/>
  </r>
  <r>
    <x v="419"/>
    <x v="5"/>
    <x v="5"/>
    <x v="5"/>
    <x v="5"/>
    <x v="6"/>
    <x v="6"/>
    <x v="0"/>
    <x v="0"/>
    <x v="0"/>
    <x v="0"/>
    <x v="0"/>
    <x v="0"/>
    <x v="1307"/>
    <x v="1307"/>
    <x v="6"/>
  </r>
  <r>
    <x v="420"/>
    <x v="31"/>
    <x v="35"/>
    <x v="16"/>
    <x v="5"/>
    <x v="6"/>
    <x v="6"/>
    <x v="0"/>
    <x v="0"/>
    <x v="0"/>
    <x v="0"/>
    <x v="0"/>
    <x v="0"/>
    <x v="1308"/>
    <x v="1308"/>
    <x v="6"/>
  </r>
  <r>
    <x v="421"/>
    <x v="10"/>
    <x v="10"/>
    <x v="15"/>
    <x v="5"/>
    <x v="56"/>
    <x v="6"/>
    <x v="0"/>
    <x v="0"/>
    <x v="0"/>
    <x v="0"/>
    <x v="0"/>
    <x v="0"/>
    <x v="0"/>
    <x v="1308"/>
    <x v="92"/>
  </r>
  <r>
    <x v="422"/>
    <x v="10"/>
    <x v="10"/>
    <x v="9"/>
    <x v="488"/>
    <x v="57"/>
    <x v="527"/>
    <x v="0"/>
    <x v="0"/>
    <x v="0"/>
    <x v="0"/>
    <x v="0"/>
    <x v="0"/>
    <x v="0"/>
    <x v="1308"/>
    <x v="6"/>
  </r>
  <r>
    <x v="423"/>
    <x v="10"/>
    <x v="10"/>
    <x v="11"/>
    <x v="5"/>
    <x v="6"/>
    <x v="528"/>
    <x v="0"/>
    <x v="0"/>
    <x v="0"/>
    <x v="0"/>
    <x v="0"/>
    <x v="0"/>
    <x v="1309"/>
    <x v="1309"/>
    <x v="6"/>
  </r>
  <r>
    <x v="424"/>
    <x v="28"/>
    <x v="32"/>
    <x v="8"/>
    <x v="489"/>
    <x v="7"/>
    <x v="529"/>
    <x v="289"/>
    <x v="330"/>
    <x v="234"/>
    <x v="0"/>
    <x v="0"/>
    <x v="0"/>
    <x v="1310"/>
    <x v="1310"/>
    <x v="10"/>
  </r>
  <r>
    <x v="424"/>
    <x v="5"/>
    <x v="5"/>
    <x v="6"/>
    <x v="5"/>
    <x v="6"/>
    <x v="6"/>
    <x v="0"/>
    <x v="0"/>
    <x v="0"/>
    <x v="0"/>
    <x v="0"/>
    <x v="0"/>
    <x v="1311"/>
    <x v="1311"/>
    <x v="6"/>
  </r>
  <r>
    <x v="424"/>
    <x v="5"/>
    <x v="5"/>
    <x v="5"/>
    <x v="5"/>
    <x v="6"/>
    <x v="6"/>
    <x v="0"/>
    <x v="0"/>
    <x v="0"/>
    <x v="0"/>
    <x v="0"/>
    <x v="0"/>
    <x v="1312"/>
    <x v="1312"/>
    <x v="6"/>
  </r>
  <r>
    <x v="424"/>
    <x v="5"/>
    <x v="5"/>
    <x v="6"/>
    <x v="5"/>
    <x v="6"/>
    <x v="6"/>
    <x v="0"/>
    <x v="0"/>
    <x v="0"/>
    <x v="0"/>
    <x v="0"/>
    <x v="0"/>
    <x v="1313"/>
    <x v="1313"/>
    <x v="6"/>
  </r>
  <r>
    <x v="424"/>
    <x v="5"/>
    <x v="5"/>
    <x v="5"/>
    <x v="5"/>
    <x v="6"/>
    <x v="6"/>
    <x v="0"/>
    <x v="0"/>
    <x v="0"/>
    <x v="0"/>
    <x v="0"/>
    <x v="0"/>
    <x v="1314"/>
    <x v="1314"/>
    <x v="6"/>
  </r>
  <r>
    <x v="425"/>
    <x v="5"/>
    <x v="5"/>
    <x v="12"/>
    <x v="5"/>
    <x v="6"/>
    <x v="6"/>
    <x v="0"/>
    <x v="0"/>
    <x v="0"/>
    <x v="0"/>
    <x v="0"/>
    <x v="0"/>
    <x v="1315"/>
    <x v="1315"/>
    <x v="6"/>
  </r>
  <r>
    <x v="426"/>
    <x v="31"/>
    <x v="35"/>
    <x v="1"/>
    <x v="447"/>
    <x v="8"/>
    <x v="530"/>
    <x v="290"/>
    <x v="331"/>
    <x v="0"/>
    <x v="0"/>
    <x v="0"/>
    <x v="0"/>
    <x v="1316"/>
    <x v="1316"/>
    <x v="88"/>
  </r>
  <r>
    <x v="426"/>
    <x v="5"/>
    <x v="5"/>
    <x v="2"/>
    <x v="5"/>
    <x v="6"/>
    <x v="6"/>
    <x v="0"/>
    <x v="0"/>
    <x v="0"/>
    <x v="0"/>
    <x v="0"/>
    <x v="0"/>
    <x v="1317"/>
    <x v="1315"/>
    <x v="6"/>
  </r>
  <r>
    <x v="427"/>
    <x v="28"/>
    <x v="32"/>
    <x v="1"/>
    <x v="490"/>
    <x v="7"/>
    <x v="531"/>
    <x v="291"/>
    <x v="332"/>
    <x v="0"/>
    <x v="0"/>
    <x v="0"/>
    <x v="0"/>
    <x v="1318"/>
    <x v="1317"/>
    <x v="2"/>
  </r>
  <r>
    <x v="427"/>
    <x v="35"/>
    <x v="39"/>
    <x v="10"/>
    <x v="237"/>
    <x v="45"/>
    <x v="532"/>
    <x v="2"/>
    <x v="191"/>
    <x v="0"/>
    <x v="51"/>
    <x v="0"/>
    <x v="0"/>
    <x v="1319"/>
    <x v="1318"/>
    <x v="23"/>
  </r>
  <r>
    <x v="427"/>
    <x v="5"/>
    <x v="5"/>
    <x v="2"/>
    <x v="5"/>
    <x v="6"/>
    <x v="6"/>
    <x v="0"/>
    <x v="0"/>
    <x v="0"/>
    <x v="0"/>
    <x v="0"/>
    <x v="0"/>
    <x v="1320"/>
    <x v="1319"/>
    <x v="6"/>
  </r>
  <r>
    <x v="428"/>
    <x v="31"/>
    <x v="35"/>
    <x v="8"/>
    <x v="491"/>
    <x v="8"/>
    <x v="533"/>
    <x v="292"/>
    <x v="333"/>
    <x v="235"/>
    <x v="0"/>
    <x v="0"/>
    <x v="0"/>
    <x v="1321"/>
    <x v="1320"/>
    <x v="50"/>
  </r>
  <r>
    <x v="428"/>
    <x v="5"/>
    <x v="5"/>
    <x v="6"/>
    <x v="5"/>
    <x v="6"/>
    <x v="6"/>
    <x v="0"/>
    <x v="0"/>
    <x v="0"/>
    <x v="0"/>
    <x v="0"/>
    <x v="0"/>
    <x v="1322"/>
    <x v="1321"/>
    <x v="6"/>
  </r>
  <r>
    <x v="428"/>
    <x v="5"/>
    <x v="5"/>
    <x v="5"/>
    <x v="5"/>
    <x v="6"/>
    <x v="6"/>
    <x v="0"/>
    <x v="0"/>
    <x v="0"/>
    <x v="0"/>
    <x v="0"/>
    <x v="0"/>
    <x v="1323"/>
    <x v="1322"/>
    <x v="6"/>
  </r>
  <r>
    <x v="428"/>
    <x v="5"/>
    <x v="5"/>
    <x v="6"/>
    <x v="5"/>
    <x v="6"/>
    <x v="6"/>
    <x v="0"/>
    <x v="0"/>
    <x v="0"/>
    <x v="0"/>
    <x v="0"/>
    <x v="0"/>
    <x v="1324"/>
    <x v="1323"/>
    <x v="6"/>
  </r>
  <r>
    <x v="428"/>
    <x v="5"/>
    <x v="5"/>
    <x v="5"/>
    <x v="5"/>
    <x v="6"/>
    <x v="6"/>
    <x v="0"/>
    <x v="0"/>
    <x v="0"/>
    <x v="0"/>
    <x v="0"/>
    <x v="0"/>
    <x v="1325"/>
    <x v="1324"/>
    <x v="6"/>
  </r>
  <r>
    <x v="429"/>
    <x v="31"/>
    <x v="35"/>
    <x v="16"/>
    <x v="5"/>
    <x v="6"/>
    <x v="6"/>
    <x v="0"/>
    <x v="0"/>
    <x v="0"/>
    <x v="0"/>
    <x v="0"/>
    <x v="0"/>
    <x v="1326"/>
    <x v="1325"/>
    <x v="6"/>
  </r>
  <r>
    <x v="430"/>
    <x v="5"/>
    <x v="5"/>
    <x v="13"/>
    <x v="5"/>
    <x v="6"/>
    <x v="6"/>
    <x v="0"/>
    <x v="0"/>
    <x v="0"/>
    <x v="0"/>
    <x v="0"/>
    <x v="0"/>
    <x v="1327"/>
    <x v="1326"/>
    <x v="6"/>
  </r>
  <r>
    <x v="430"/>
    <x v="5"/>
    <x v="5"/>
    <x v="6"/>
    <x v="5"/>
    <x v="6"/>
    <x v="6"/>
    <x v="0"/>
    <x v="0"/>
    <x v="0"/>
    <x v="0"/>
    <x v="0"/>
    <x v="0"/>
    <x v="1328"/>
    <x v="1327"/>
    <x v="6"/>
  </r>
  <r>
    <x v="430"/>
    <x v="5"/>
    <x v="5"/>
    <x v="6"/>
    <x v="5"/>
    <x v="6"/>
    <x v="6"/>
    <x v="0"/>
    <x v="0"/>
    <x v="0"/>
    <x v="0"/>
    <x v="0"/>
    <x v="0"/>
    <x v="1329"/>
    <x v="1328"/>
    <x v="6"/>
  </r>
  <r>
    <x v="430"/>
    <x v="5"/>
    <x v="5"/>
    <x v="6"/>
    <x v="5"/>
    <x v="6"/>
    <x v="6"/>
    <x v="0"/>
    <x v="0"/>
    <x v="0"/>
    <x v="0"/>
    <x v="0"/>
    <x v="0"/>
    <x v="1330"/>
    <x v="1329"/>
    <x v="6"/>
  </r>
  <r>
    <x v="431"/>
    <x v="31"/>
    <x v="35"/>
    <x v="1"/>
    <x v="492"/>
    <x v="8"/>
    <x v="315"/>
    <x v="240"/>
    <x v="334"/>
    <x v="0"/>
    <x v="0"/>
    <x v="0"/>
    <x v="0"/>
    <x v="1331"/>
    <x v="1330"/>
    <x v="88"/>
  </r>
  <r>
    <x v="431"/>
    <x v="5"/>
    <x v="5"/>
    <x v="2"/>
    <x v="5"/>
    <x v="6"/>
    <x v="6"/>
    <x v="0"/>
    <x v="0"/>
    <x v="0"/>
    <x v="0"/>
    <x v="0"/>
    <x v="0"/>
    <x v="1332"/>
    <x v="1329"/>
    <x v="6"/>
  </r>
  <r>
    <x v="432"/>
    <x v="5"/>
    <x v="5"/>
    <x v="6"/>
    <x v="5"/>
    <x v="6"/>
    <x v="6"/>
    <x v="0"/>
    <x v="0"/>
    <x v="0"/>
    <x v="0"/>
    <x v="0"/>
    <x v="0"/>
    <x v="1333"/>
    <x v="1331"/>
    <x v="6"/>
  </r>
  <r>
    <x v="432"/>
    <x v="5"/>
    <x v="5"/>
    <x v="5"/>
    <x v="5"/>
    <x v="6"/>
    <x v="6"/>
    <x v="0"/>
    <x v="0"/>
    <x v="0"/>
    <x v="0"/>
    <x v="0"/>
    <x v="0"/>
    <x v="1334"/>
    <x v="1332"/>
    <x v="6"/>
  </r>
  <r>
    <x v="433"/>
    <x v="28"/>
    <x v="32"/>
    <x v="8"/>
    <x v="493"/>
    <x v="7"/>
    <x v="534"/>
    <x v="293"/>
    <x v="335"/>
    <x v="236"/>
    <x v="0"/>
    <x v="0"/>
    <x v="0"/>
    <x v="1335"/>
    <x v="1333"/>
    <x v="10"/>
  </r>
  <r>
    <x v="433"/>
    <x v="5"/>
    <x v="5"/>
    <x v="6"/>
    <x v="5"/>
    <x v="6"/>
    <x v="6"/>
    <x v="0"/>
    <x v="0"/>
    <x v="0"/>
    <x v="0"/>
    <x v="0"/>
    <x v="0"/>
    <x v="1336"/>
    <x v="1334"/>
    <x v="6"/>
  </r>
  <r>
    <x v="433"/>
    <x v="5"/>
    <x v="5"/>
    <x v="5"/>
    <x v="5"/>
    <x v="6"/>
    <x v="6"/>
    <x v="0"/>
    <x v="0"/>
    <x v="0"/>
    <x v="0"/>
    <x v="0"/>
    <x v="0"/>
    <x v="1337"/>
    <x v="1335"/>
    <x v="6"/>
  </r>
  <r>
    <x v="434"/>
    <x v="35"/>
    <x v="39"/>
    <x v="4"/>
    <x v="458"/>
    <x v="45"/>
    <x v="535"/>
    <x v="2"/>
    <x v="111"/>
    <x v="237"/>
    <x v="50"/>
    <x v="0"/>
    <x v="0"/>
    <x v="1338"/>
    <x v="1336"/>
    <x v="6"/>
  </r>
  <r>
    <x v="434"/>
    <x v="26"/>
    <x v="29"/>
    <x v="10"/>
    <x v="494"/>
    <x v="27"/>
    <x v="536"/>
    <x v="2"/>
    <x v="196"/>
    <x v="0"/>
    <x v="0"/>
    <x v="0"/>
    <x v="0"/>
    <x v="1339"/>
    <x v="1337"/>
    <x v="93"/>
  </r>
  <r>
    <x v="434"/>
    <x v="5"/>
    <x v="5"/>
    <x v="6"/>
    <x v="5"/>
    <x v="6"/>
    <x v="6"/>
    <x v="0"/>
    <x v="0"/>
    <x v="0"/>
    <x v="0"/>
    <x v="0"/>
    <x v="0"/>
    <x v="1340"/>
    <x v="1338"/>
    <x v="6"/>
  </r>
  <r>
    <x v="434"/>
    <x v="5"/>
    <x v="5"/>
    <x v="5"/>
    <x v="5"/>
    <x v="6"/>
    <x v="6"/>
    <x v="0"/>
    <x v="0"/>
    <x v="0"/>
    <x v="0"/>
    <x v="0"/>
    <x v="0"/>
    <x v="1341"/>
    <x v="1339"/>
    <x v="6"/>
  </r>
  <r>
    <x v="435"/>
    <x v="28"/>
    <x v="32"/>
    <x v="8"/>
    <x v="495"/>
    <x v="7"/>
    <x v="537"/>
    <x v="294"/>
    <x v="336"/>
    <x v="238"/>
    <x v="0"/>
    <x v="0"/>
    <x v="0"/>
    <x v="1342"/>
    <x v="1340"/>
    <x v="6"/>
  </r>
  <r>
    <x v="435"/>
    <x v="5"/>
    <x v="5"/>
    <x v="6"/>
    <x v="5"/>
    <x v="6"/>
    <x v="6"/>
    <x v="0"/>
    <x v="0"/>
    <x v="0"/>
    <x v="0"/>
    <x v="0"/>
    <x v="0"/>
    <x v="1343"/>
    <x v="1341"/>
    <x v="6"/>
  </r>
  <r>
    <x v="435"/>
    <x v="5"/>
    <x v="5"/>
    <x v="5"/>
    <x v="5"/>
    <x v="6"/>
    <x v="6"/>
    <x v="0"/>
    <x v="0"/>
    <x v="0"/>
    <x v="0"/>
    <x v="0"/>
    <x v="0"/>
    <x v="1344"/>
    <x v="1342"/>
    <x v="6"/>
  </r>
  <r>
    <x v="435"/>
    <x v="5"/>
    <x v="5"/>
    <x v="6"/>
    <x v="5"/>
    <x v="6"/>
    <x v="6"/>
    <x v="0"/>
    <x v="0"/>
    <x v="0"/>
    <x v="0"/>
    <x v="0"/>
    <x v="0"/>
    <x v="1345"/>
    <x v="1343"/>
    <x v="6"/>
  </r>
  <r>
    <x v="435"/>
    <x v="5"/>
    <x v="5"/>
    <x v="5"/>
    <x v="5"/>
    <x v="6"/>
    <x v="6"/>
    <x v="0"/>
    <x v="0"/>
    <x v="0"/>
    <x v="0"/>
    <x v="0"/>
    <x v="0"/>
    <x v="1346"/>
    <x v="1344"/>
    <x v="6"/>
  </r>
  <r>
    <x v="436"/>
    <x v="26"/>
    <x v="29"/>
    <x v="4"/>
    <x v="496"/>
    <x v="27"/>
    <x v="538"/>
    <x v="2"/>
    <x v="182"/>
    <x v="124"/>
    <x v="0"/>
    <x v="0"/>
    <x v="0"/>
    <x v="1347"/>
    <x v="1345"/>
    <x v="89"/>
  </r>
  <r>
    <x v="436"/>
    <x v="35"/>
    <x v="39"/>
    <x v="10"/>
    <x v="497"/>
    <x v="0"/>
    <x v="539"/>
    <x v="2"/>
    <x v="212"/>
    <x v="0"/>
    <x v="48"/>
    <x v="0"/>
    <x v="0"/>
    <x v="1348"/>
    <x v="1346"/>
    <x v="0"/>
  </r>
  <r>
    <x v="436"/>
    <x v="5"/>
    <x v="5"/>
    <x v="6"/>
    <x v="5"/>
    <x v="6"/>
    <x v="6"/>
    <x v="0"/>
    <x v="0"/>
    <x v="0"/>
    <x v="0"/>
    <x v="0"/>
    <x v="0"/>
    <x v="1047"/>
    <x v="1347"/>
    <x v="6"/>
  </r>
  <r>
    <x v="436"/>
    <x v="5"/>
    <x v="5"/>
    <x v="5"/>
    <x v="5"/>
    <x v="6"/>
    <x v="6"/>
    <x v="0"/>
    <x v="0"/>
    <x v="0"/>
    <x v="0"/>
    <x v="0"/>
    <x v="0"/>
    <x v="1349"/>
    <x v="1348"/>
    <x v="6"/>
  </r>
  <r>
    <x v="437"/>
    <x v="5"/>
    <x v="5"/>
    <x v="6"/>
    <x v="5"/>
    <x v="6"/>
    <x v="6"/>
    <x v="0"/>
    <x v="0"/>
    <x v="0"/>
    <x v="0"/>
    <x v="0"/>
    <x v="0"/>
    <x v="1350"/>
    <x v="1349"/>
    <x v="6"/>
  </r>
  <r>
    <x v="437"/>
    <x v="5"/>
    <x v="5"/>
    <x v="6"/>
    <x v="5"/>
    <x v="6"/>
    <x v="6"/>
    <x v="0"/>
    <x v="0"/>
    <x v="0"/>
    <x v="0"/>
    <x v="0"/>
    <x v="0"/>
    <x v="1351"/>
    <x v="0"/>
    <x v="6"/>
  </r>
  <r>
    <x v="438"/>
    <x v="31"/>
    <x v="35"/>
    <x v="1"/>
    <x v="337"/>
    <x v="8"/>
    <x v="540"/>
    <x v="295"/>
    <x v="67"/>
    <x v="0"/>
    <x v="0"/>
    <x v="0"/>
    <x v="0"/>
    <x v="1352"/>
    <x v="1350"/>
    <x v="60"/>
  </r>
  <r>
    <x v="438"/>
    <x v="5"/>
    <x v="5"/>
    <x v="2"/>
    <x v="5"/>
    <x v="6"/>
    <x v="6"/>
    <x v="0"/>
    <x v="0"/>
    <x v="0"/>
    <x v="0"/>
    <x v="0"/>
    <x v="0"/>
    <x v="1353"/>
    <x v="0"/>
    <x v="6"/>
  </r>
  <r>
    <x v="439"/>
    <x v="31"/>
    <x v="35"/>
    <x v="1"/>
    <x v="498"/>
    <x v="8"/>
    <x v="541"/>
    <x v="86"/>
    <x v="337"/>
    <x v="0"/>
    <x v="0"/>
    <x v="0"/>
    <x v="0"/>
    <x v="1354"/>
    <x v="1351"/>
    <x v="62"/>
  </r>
  <r>
    <x v="439"/>
    <x v="28"/>
    <x v="32"/>
    <x v="1"/>
    <x v="499"/>
    <x v="7"/>
    <x v="542"/>
    <x v="296"/>
    <x v="338"/>
    <x v="0"/>
    <x v="0"/>
    <x v="0"/>
    <x v="0"/>
    <x v="1355"/>
    <x v="1352"/>
    <x v="10"/>
  </r>
  <r>
    <x v="439"/>
    <x v="5"/>
    <x v="5"/>
    <x v="2"/>
    <x v="5"/>
    <x v="6"/>
    <x v="6"/>
    <x v="0"/>
    <x v="0"/>
    <x v="0"/>
    <x v="0"/>
    <x v="0"/>
    <x v="0"/>
    <x v="1356"/>
    <x v="1353"/>
    <x v="6"/>
  </r>
  <r>
    <x v="439"/>
    <x v="5"/>
    <x v="5"/>
    <x v="2"/>
    <x v="5"/>
    <x v="6"/>
    <x v="6"/>
    <x v="0"/>
    <x v="0"/>
    <x v="0"/>
    <x v="0"/>
    <x v="0"/>
    <x v="0"/>
    <x v="1357"/>
    <x v="0"/>
    <x v="6"/>
  </r>
  <r>
    <x v="440"/>
    <x v="28"/>
    <x v="32"/>
    <x v="1"/>
    <x v="500"/>
    <x v="7"/>
    <x v="543"/>
    <x v="297"/>
    <x v="339"/>
    <x v="0"/>
    <x v="0"/>
    <x v="0"/>
    <x v="0"/>
    <x v="1358"/>
    <x v="1354"/>
    <x v="2"/>
  </r>
  <r>
    <x v="440"/>
    <x v="35"/>
    <x v="39"/>
    <x v="0"/>
    <x v="501"/>
    <x v="58"/>
    <x v="544"/>
    <x v="0"/>
    <x v="0"/>
    <x v="0"/>
    <x v="0"/>
    <x v="0"/>
    <x v="0"/>
    <x v="0"/>
    <x v="1354"/>
    <x v="94"/>
  </r>
  <r>
    <x v="440"/>
    <x v="28"/>
    <x v="32"/>
    <x v="8"/>
    <x v="284"/>
    <x v="7"/>
    <x v="545"/>
    <x v="298"/>
    <x v="297"/>
    <x v="239"/>
    <x v="0"/>
    <x v="0"/>
    <x v="0"/>
    <x v="1359"/>
    <x v="1355"/>
    <x v="10"/>
  </r>
  <r>
    <x v="440"/>
    <x v="31"/>
    <x v="35"/>
    <x v="1"/>
    <x v="502"/>
    <x v="8"/>
    <x v="39"/>
    <x v="30"/>
    <x v="340"/>
    <x v="0"/>
    <x v="0"/>
    <x v="0"/>
    <x v="0"/>
    <x v="1360"/>
    <x v="1356"/>
    <x v="95"/>
  </r>
  <r>
    <x v="440"/>
    <x v="28"/>
    <x v="32"/>
    <x v="1"/>
    <x v="503"/>
    <x v="7"/>
    <x v="267"/>
    <x v="299"/>
    <x v="341"/>
    <x v="0"/>
    <x v="0"/>
    <x v="0"/>
    <x v="0"/>
    <x v="1361"/>
    <x v="1357"/>
    <x v="2"/>
  </r>
  <r>
    <x v="440"/>
    <x v="5"/>
    <x v="5"/>
    <x v="2"/>
    <x v="5"/>
    <x v="6"/>
    <x v="6"/>
    <x v="0"/>
    <x v="0"/>
    <x v="0"/>
    <x v="0"/>
    <x v="0"/>
    <x v="0"/>
    <x v="1362"/>
    <x v="1358"/>
    <x v="6"/>
  </r>
  <r>
    <x v="440"/>
    <x v="5"/>
    <x v="5"/>
    <x v="2"/>
    <x v="5"/>
    <x v="6"/>
    <x v="6"/>
    <x v="0"/>
    <x v="0"/>
    <x v="0"/>
    <x v="0"/>
    <x v="0"/>
    <x v="0"/>
    <x v="1363"/>
    <x v="1359"/>
    <x v="6"/>
  </r>
  <r>
    <x v="440"/>
    <x v="5"/>
    <x v="5"/>
    <x v="2"/>
    <x v="5"/>
    <x v="6"/>
    <x v="6"/>
    <x v="0"/>
    <x v="0"/>
    <x v="0"/>
    <x v="0"/>
    <x v="0"/>
    <x v="0"/>
    <x v="1364"/>
    <x v="1360"/>
    <x v="6"/>
  </r>
  <r>
    <x v="440"/>
    <x v="5"/>
    <x v="5"/>
    <x v="6"/>
    <x v="5"/>
    <x v="6"/>
    <x v="6"/>
    <x v="0"/>
    <x v="0"/>
    <x v="0"/>
    <x v="0"/>
    <x v="0"/>
    <x v="0"/>
    <x v="1365"/>
    <x v="1361"/>
    <x v="6"/>
  </r>
  <r>
    <x v="440"/>
    <x v="5"/>
    <x v="5"/>
    <x v="5"/>
    <x v="5"/>
    <x v="6"/>
    <x v="6"/>
    <x v="0"/>
    <x v="0"/>
    <x v="0"/>
    <x v="0"/>
    <x v="0"/>
    <x v="0"/>
    <x v="1366"/>
    <x v="1362"/>
    <x v="6"/>
  </r>
  <r>
    <x v="440"/>
    <x v="5"/>
    <x v="5"/>
    <x v="6"/>
    <x v="5"/>
    <x v="6"/>
    <x v="6"/>
    <x v="0"/>
    <x v="0"/>
    <x v="0"/>
    <x v="0"/>
    <x v="0"/>
    <x v="0"/>
    <x v="1367"/>
    <x v="1363"/>
    <x v="6"/>
  </r>
  <r>
    <x v="440"/>
    <x v="5"/>
    <x v="5"/>
    <x v="5"/>
    <x v="5"/>
    <x v="6"/>
    <x v="6"/>
    <x v="0"/>
    <x v="0"/>
    <x v="0"/>
    <x v="0"/>
    <x v="0"/>
    <x v="0"/>
    <x v="1368"/>
    <x v="1364"/>
    <x v="6"/>
  </r>
  <r>
    <x v="441"/>
    <x v="28"/>
    <x v="32"/>
    <x v="8"/>
    <x v="504"/>
    <x v="7"/>
    <x v="546"/>
    <x v="283"/>
    <x v="324"/>
    <x v="229"/>
    <x v="0"/>
    <x v="0"/>
    <x v="0"/>
    <x v="1369"/>
    <x v="1365"/>
    <x v="10"/>
  </r>
  <r>
    <x v="441"/>
    <x v="5"/>
    <x v="5"/>
    <x v="6"/>
    <x v="5"/>
    <x v="6"/>
    <x v="6"/>
    <x v="0"/>
    <x v="0"/>
    <x v="0"/>
    <x v="0"/>
    <x v="0"/>
    <x v="0"/>
    <x v="1370"/>
    <x v="1366"/>
    <x v="6"/>
  </r>
  <r>
    <x v="441"/>
    <x v="5"/>
    <x v="5"/>
    <x v="5"/>
    <x v="5"/>
    <x v="6"/>
    <x v="6"/>
    <x v="0"/>
    <x v="0"/>
    <x v="0"/>
    <x v="0"/>
    <x v="0"/>
    <x v="0"/>
    <x v="1371"/>
    <x v="1367"/>
    <x v="6"/>
  </r>
  <r>
    <x v="441"/>
    <x v="5"/>
    <x v="5"/>
    <x v="6"/>
    <x v="5"/>
    <x v="6"/>
    <x v="6"/>
    <x v="0"/>
    <x v="0"/>
    <x v="0"/>
    <x v="0"/>
    <x v="0"/>
    <x v="0"/>
    <x v="1372"/>
    <x v="1368"/>
    <x v="6"/>
  </r>
  <r>
    <x v="441"/>
    <x v="5"/>
    <x v="5"/>
    <x v="5"/>
    <x v="5"/>
    <x v="6"/>
    <x v="6"/>
    <x v="0"/>
    <x v="0"/>
    <x v="0"/>
    <x v="0"/>
    <x v="0"/>
    <x v="0"/>
    <x v="1373"/>
    <x v="1369"/>
    <x v="6"/>
  </r>
  <r>
    <x v="442"/>
    <x v="28"/>
    <x v="32"/>
    <x v="1"/>
    <x v="445"/>
    <x v="5"/>
    <x v="547"/>
    <x v="2"/>
    <x v="52"/>
    <x v="0"/>
    <x v="0"/>
    <x v="0"/>
    <x v="0"/>
    <x v="1374"/>
    <x v="1370"/>
    <x v="0"/>
  </r>
  <r>
    <x v="442"/>
    <x v="5"/>
    <x v="5"/>
    <x v="2"/>
    <x v="5"/>
    <x v="6"/>
    <x v="6"/>
    <x v="0"/>
    <x v="0"/>
    <x v="0"/>
    <x v="0"/>
    <x v="0"/>
    <x v="0"/>
    <x v="1375"/>
    <x v="1369"/>
    <x v="6"/>
  </r>
  <r>
    <x v="443"/>
    <x v="28"/>
    <x v="32"/>
    <x v="8"/>
    <x v="505"/>
    <x v="0"/>
    <x v="548"/>
    <x v="300"/>
    <x v="141"/>
    <x v="240"/>
    <x v="0"/>
    <x v="0"/>
    <x v="0"/>
    <x v="1376"/>
    <x v="1371"/>
    <x v="6"/>
  </r>
  <r>
    <x v="443"/>
    <x v="25"/>
    <x v="28"/>
    <x v="0"/>
    <x v="506"/>
    <x v="18"/>
    <x v="549"/>
    <x v="0"/>
    <x v="0"/>
    <x v="0"/>
    <x v="0"/>
    <x v="0"/>
    <x v="0"/>
    <x v="0"/>
    <x v="1371"/>
    <x v="87"/>
  </r>
  <r>
    <x v="443"/>
    <x v="5"/>
    <x v="5"/>
    <x v="5"/>
    <x v="5"/>
    <x v="6"/>
    <x v="6"/>
    <x v="0"/>
    <x v="0"/>
    <x v="0"/>
    <x v="0"/>
    <x v="0"/>
    <x v="0"/>
    <x v="1377"/>
    <x v="1372"/>
    <x v="6"/>
  </r>
  <r>
    <x v="443"/>
    <x v="5"/>
    <x v="5"/>
    <x v="6"/>
    <x v="5"/>
    <x v="6"/>
    <x v="6"/>
    <x v="0"/>
    <x v="0"/>
    <x v="0"/>
    <x v="0"/>
    <x v="0"/>
    <x v="0"/>
    <x v="1378"/>
    <x v="1373"/>
    <x v="6"/>
  </r>
  <r>
    <x v="443"/>
    <x v="5"/>
    <x v="5"/>
    <x v="5"/>
    <x v="5"/>
    <x v="6"/>
    <x v="6"/>
    <x v="0"/>
    <x v="0"/>
    <x v="0"/>
    <x v="0"/>
    <x v="0"/>
    <x v="0"/>
    <x v="1379"/>
    <x v="1374"/>
    <x v="6"/>
  </r>
  <r>
    <x v="443"/>
    <x v="5"/>
    <x v="5"/>
    <x v="6"/>
    <x v="5"/>
    <x v="6"/>
    <x v="6"/>
    <x v="0"/>
    <x v="0"/>
    <x v="0"/>
    <x v="0"/>
    <x v="0"/>
    <x v="0"/>
    <x v="1380"/>
    <x v="1375"/>
    <x v="6"/>
  </r>
  <r>
    <x v="443"/>
    <x v="5"/>
    <x v="5"/>
    <x v="5"/>
    <x v="5"/>
    <x v="6"/>
    <x v="6"/>
    <x v="0"/>
    <x v="0"/>
    <x v="0"/>
    <x v="0"/>
    <x v="0"/>
    <x v="0"/>
    <x v="1352"/>
    <x v="1376"/>
    <x v="6"/>
  </r>
  <r>
    <x v="443"/>
    <x v="5"/>
    <x v="5"/>
    <x v="6"/>
    <x v="5"/>
    <x v="6"/>
    <x v="6"/>
    <x v="0"/>
    <x v="0"/>
    <x v="0"/>
    <x v="0"/>
    <x v="0"/>
    <x v="0"/>
    <x v="1381"/>
    <x v="1377"/>
    <x v="6"/>
  </r>
  <r>
    <x v="443"/>
    <x v="5"/>
    <x v="5"/>
    <x v="5"/>
    <x v="5"/>
    <x v="6"/>
    <x v="6"/>
    <x v="0"/>
    <x v="0"/>
    <x v="0"/>
    <x v="0"/>
    <x v="0"/>
    <x v="0"/>
    <x v="1382"/>
    <x v="1378"/>
    <x v="6"/>
  </r>
  <r>
    <x v="444"/>
    <x v="25"/>
    <x v="28"/>
    <x v="1"/>
    <x v="507"/>
    <x v="18"/>
    <x v="550"/>
    <x v="55"/>
    <x v="342"/>
    <x v="0"/>
    <x v="0"/>
    <x v="0"/>
    <x v="0"/>
    <x v="1383"/>
    <x v="1379"/>
    <x v="96"/>
  </r>
  <r>
    <x v="444"/>
    <x v="31"/>
    <x v="35"/>
    <x v="8"/>
    <x v="508"/>
    <x v="8"/>
    <x v="551"/>
    <x v="159"/>
    <x v="132"/>
    <x v="220"/>
    <x v="0"/>
    <x v="0"/>
    <x v="0"/>
    <x v="1384"/>
    <x v="1380"/>
    <x v="62"/>
  </r>
  <r>
    <x v="444"/>
    <x v="5"/>
    <x v="5"/>
    <x v="2"/>
    <x v="5"/>
    <x v="6"/>
    <x v="6"/>
    <x v="0"/>
    <x v="0"/>
    <x v="0"/>
    <x v="0"/>
    <x v="0"/>
    <x v="0"/>
    <x v="1385"/>
    <x v="1381"/>
    <x v="6"/>
  </r>
  <r>
    <x v="444"/>
    <x v="5"/>
    <x v="5"/>
    <x v="6"/>
    <x v="5"/>
    <x v="6"/>
    <x v="6"/>
    <x v="0"/>
    <x v="0"/>
    <x v="0"/>
    <x v="0"/>
    <x v="0"/>
    <x v="0"/>
    <x v="1386"/>
    <x v="1382"/>
    <x v="6"/>
  </r>
  <r>
    <x v="444"/>
    <x v="5"/>
    <x v="5"/>
    <x v="5"/>
    <x v="5"/>
    <x v="6"/>
    <x v="6"/>
    <x v="0"/>
    <x v="0"/>
    <x v="0"/>
    <x v="0"/>
    <x v="0"/>
    <x v="0"/>
    <x v="1387"/>
    <x v="1383"/>
    <x v="6"/>
  </r>
  <r>
    <x v="444"/>
    <x v="5"/>
    <x v="5"/>
    <x v="5"/>
    <x v="5"/>
    <x v="6"/>
    <x v="6"/>
    <x v="0"/>
    <x v="0"/>
    <x v="0"/>
    <x v="0"/>
    <x v="0"/>
    <x v="0"/>
    <x v="1388"/>
    <x v="1384"/>
    <x v="6"/>
  </r>
  <r>
    <x v="444"/>
    <x v="5"/>
    <x v="5"/>
    <x v="6"/>
    <x v="5"/>
    <x v="6"/>
    <x v="6"/>
    <x v="0"/>
    <x v="0"/>
    <x v="0"/>
    <x v="0"/>
    <x v="0"/>
    <x v="0"/>
    <x v="1329"/>
    <x v="1385"/>
    <x v="6"/>
  </r>
  <r>
    <x v="444"/>
    <x v="5"/>
    <x v="5"/>
    <x v="5"/>
    <x v="5"/>
    <x v="6"/>
    <x v="6"/>
    <x v="0"/>
    <x v="0"/>
    <x v="0"/>
    <x v="0"/>
    <x v="0"/>
    <x v="0"/>
    <x v="1389"/>
    <x v="1386"/>
    <x v="6"/>
  </r>
  <r>
    <x v="445"/>
    <x v="31"/>
    <x v="35"/>
    <x v="16"/>
    <x v="5"/>
    <x v="6"/>
    <x v="6"/>
    <x v="0"/>
    <x v="0"/>
    <x v="0"/>
    <x v="0"/>
    <x v="0"/>
    <x v="0"/>
    <x v="1308"/>
    <x v="1387"/>
    <x v="6"/>
  </r>
  <r>
    <x v="446"/>
    <x v="25"/>
    <x v="28"/>
    <x v="8"/>
    <x v="509"/>
    <x v="59"/>
    <x v="552"/>
    <x v="2"/>
    <x v="52"/>
    <x v="241"/>
    <x v="0"/>
    <x v="0"/>
    <x v="0"/>
    <x v="1390"/>
    <x v="1388"/>
    <x v="97"/>
  </r>
  <r>
    <x v="446"/>
    <x v="25"/>
    <x v="28"/>
    <x v="8"/>
    <x v="510"/>
    <x v="60"/>
    <x v="553"/>
    <x v="301"/>
    <x v="111"/>
    <x v="71"/>
    <x v="0"/>
    <x v="0"/>
    <x v="0"/>
    <x v="1391"/>
    <x v="1389"/>
    <x v="87"/>
  </r>
  <r>
    <x v="446"/>
    <x v="5"/>
    <x v="5"/>
    <x v="6"/>
    <x v="5"/>
    <x v="6"/>
    <x v="6"/>
    <x v="0"/>
    <x v="0"/>
    <x v="0"/>
    <x v="0"/>
    <x v="0"/>
    <x v="0"/>
    <x v="1392"/>
    <x v="1390"/>
    <x v="6"/>
  </r>
  <r>
    <x v="446"/>
    <x v="5"/>
    <x v="5"/>
    <x v="5"/>
    <x v="5"/>
    <x v="6"/>
    <x v="6"/>
    <x v="0"/>
    <x v="0"/>
    <x v="0"/>
    <x v="0"/>
    <x v="0"/>
    <x v="0"/>
    <x v="1393"/>
    <x v="1391"/>
    <x v="6"/>
  </r>
  <r>
    <x v="446"/>
    <x v="5"/>
    <x v="5"/>
    <x v="6"/>
    <x v="5"/>
    <x v="6"/>
    <x v="6"/>
    <x v="0"/>
    <x v="0"/>
    <x v="0"/>
    <x v="0"/>
    <x v="0"/>
    <x v="0"/>
    <x v="1394"/>
    <x v="1392"/>
    <x v="6"/>
  </r>
  <r>
    <x v="446"/>
    <x v="5"/>
    <x v="5"/>
    <x v="5"/>
    <x v="5"/>
    <x v="6"/>
    <x v="6"/>
    <x v="0"/>
    <x v="0"/>
    <x v="0"/>
    <x v="0"/>
    <x v="0"/>
    <x v="0"/>
    <x v="1395"/>
    <x v="1393"/>
    <x v="6"/>
  </r>
  <r>
    <x v="446"/>
    <x v="5"/>
    <x v="5"/>
    <x v="5"/>
    <x v="5"/>
    <x v="6"/>
    <x v="6"/>
    <x v="0"/>
    <x v="0"/>
    <x v="0"/>
    <x v="0"/>
    <x v="0"/>
    <x v="0"/>
    <x v="1396"/>
    <x v="1394"/>
    <x v="6"/>
  </r>
  <r>
    <x v="447"/>
    <x v="5"/>
    <x v="5"/>
    <x v="6"/>
    <x v="5"/>
    <x v="6"/>
    <x v="6"/>
    <x v="0"/>
    <x v="0"/>
    <x v="0"/>
    <x v="0"/>
    <x v="0"/>
    <x v="0"/>
    <x v="1397"/>
    <x v="1395"/>
    <x v="6"/>
  </r>
  <r>
    <x v="447"/>
    <x v="5"/>
    <x v="5"/>
    <x v="5"/>
    <x v="5"/>
    <x v="6"/>
    <x v="6"/>
    <x v="0"/>
    <x v="0"/>
    <x v="0"/>
    <x v="0"/>
    <x v="0"/>
    <x v="0"/>
    <x v="1398"/>
    <x v="1396"/>
    <x v="6"/>
  </r>
  <r>
    <x v="448"/>
    <x v="5"/>
    <x v="5"/>
    <x v="6"/>
    <x v="5"/>
    <x v="6"/>
    <x v="6"/>
    <x v="0"/>
    <x v="0"/>
    <x v="0"/>
    <x v="0"/>
    <x v="0"/>
    <x v="0"/>
    <x v="1399"/>
    <x v="0"/>
    <x v="6"/>
  </r>
  <r>
    <x v="449"/>
    <x v="31"/>
    <x v="35"/>
    <x v="1"/>
    <x v="511"/>
    <x v="8"/>
    <x v="554"/>
    <x v="169"/>
    <x v="343"/>
    <x v="0"/>
    <x v="0"/>
    <x v="0"/>
    <x v="0"/>
    <x v="1400"/>
    <x v="1397"/>
    <x v="95"/>
  </r>
  <r>
    <x v="449"/>
    <x v="31"/>
    <x v="35"/>
    <x v="8"/>
    <x v="303"/>
    <x v="8"/>
    <x v="217"/>
    <x v="302"/>
    <x v="344"/>
    <x v="134"/>
    <x v="0"/>
    <x v="0"/>
    <x v="0"/>
    <x v="1401"/>
    <x v="1398"/>
    <x v="62"/>
  </r>
  <r>
    <x v="449"/>
    <x v="5"/>
    <x v="5"/>
    <x v="2"/>
    <x v="5"/>
    <x v="6"/>
    <x v="6"/>
    <x v="0"/>
    <x v="0"/>
    <x v="0"/>
    <x v="0"/>
    <x v="0"/>
    <x v="0"/>
    <x v="1402"/>
    <x v="1399"/>
    <x v="6"/>
  </r>
  <r>
    <x v="449"/>
    <x v="5"/>
    <x v="5"/>
    <x v="6"/>
    <x v="5"/>
    <x v="6"/>
    <x v="6"/>
    <x v="0"/>
    <x v="0"/>
    <x v="0"/>
    <x v="0"/>
    <x v="0"/>
    <x v="0"/>
    <x v="1403"/>
    <x v="1400"/>
    <x v="6"/>
  </r>
  <r>
    <x v="449"/>
    <x v="5"/>
    <x v="5"/>
    <x v="5"/>
    <x v="5"/>
    <x v="6"/>
    <x v="6"/>
    <x v="0"/>
    <x v="0"/>
    <x v="0"/>
    <x v="0"/>
    <x v="0"/>
    <x v="0"/>
    <x v="1404"/>
    <x v="1401"/>
    <x v="6"/>
  </r>
  <r>
    <x v="449"/>
    <x v="5"/>
    <x v="5"/>
    <x v="6"/>
    <x v="5"/>
    <x v="6"/>
    <x v="6"/>
    <x v="0"/>
    <x v="0"/>
    <x v="0"/>
    <x v="0"/>
    <x v="0"/>
    <x v="0"/>
    <x v="1405"/>
    <x v="1402"/>
    <x v="6"/>
  </r>
  <r>
    <x v="449"/>
    <x v="5"/>
    <x v="5"/>
    <x v="5"/>
    <x v="5"/>
    <x v="6"/>
    <x v="6"/>
    <x v="0"/>
    <x v="0"/>
    <x v="0"/>
    <x v="0"/>
    <x v="0"/>
    <x v="0"/>
    <x v="1406"/>
    <x v="1403"/>
    <x v="6"/>
  </r>
  <r>
    <x v="450"/>
    <x v="25"/>
    <x v="28"/>
    <x v="1"/>
    <x v="512"/>
    <x v="31"/>
    <x v="235"/>
    <x v="303"/>
    <x v="145"/>
    <x v="0"/>
    <x v="0"/>
    <x v="0"/>
    <x v="0"/>
    <x v="1407"/>
    <x v="1404"/>
    <x v="81"/>
  </r>
  <r>
    <x v="450"/>
    <x v="5"/>
    <x v="5"/>
    <x v="2"/>
    <x v="5"/>
    <x v="6"/>
    <x v="6"/>
    <x v="0"/>
    <x v="0"/>
    <x v="0"/>
    <x v="0"/>
    <x v="0"/>
    <x v="0"/>
    <x v="1408"/>
    <x v="1403"/>
    <x v="6"/>
  </r>
  <r>
    <x v="451"/>
    <x v="25"/>
    <x v="28"/>
    <x v="8"/>
    <x v="513"/>
    <x v="31"/>
    <x v="555"/>
    <x v="235"/>
    <x v="29"/>
    <x v="242"/>
    <x v="0"/>
    <x v="0"/>
    <x v="0"/>
    <x v="1409"/>
    <x v="1405"/>
    <x v="87"/>
  </r>
  <r>
    <x v="451"/>
    <x v="5"/>
    <x v="5"/>
    <x v="6"/>
    <x v="5"/>
    <x v="6"/>
    <x v="6"/>
    <x v="0"/>
    <x v="0"/>
    <x v="0"/>
    <x v="0"/>
    <x v="0"/>
    <x v="0"/>
    <x v="1410"/>
    <x v="1406"/>
    <x v="6"/>
  </r>
  <r>
    <x v="451"/>
    <x v="5"/>
    <x v="5"/>
    <x v="5"/>
    <x v="5"/>
    <x v="6"/>
    <x v="6"/>
    <x v="0"/>
    <x v="0"/>
    <x v="0"/>
    <x v="0"/>
    <x v="0"/>
    <x v="0"/>
    <x v="1411"/>
    <x v="1407"/>
    <x v="6"/>
  </r>
  <r>
    <x v="451"/>
    <x v="5"/>
    <x v="5"/>
    <x v="6"/>
    <x v="5"/>
    <x v="6"/>
    <x v="6"/>
    <x v="0"/>
    <x v="0"/>
    <x v="0"/>
    <x v="0"/>
    <x v="0"/>
    <x v="0"/>
    <x v="1412"/>
    <x v="1408"/>
    <x v="6"/>
  </r>
  <r>
    <x v="451"/>
    <x v="5"/>
    <x v="5"/>
    <x v="5"/>
    <x v="5"/>
    <x v="6"/>
    <x v="6"/>
    <x v="0"/>
    <x v="0"/>
    <x v="0"/>
    <x v="0"/>
    <x v="0"/>
    <x v="0"/>
    <x v="1413"/>
    <x v="1409"/>
    <x v="6"/>
  </r>
  <r>
    <x v="452"/>
    <x v="31"/>
    <x v="35"/>
    <x v="1"/>
    <x v="451"/>
    <x v="8"/>
    <x v="556"/>
    <x v="168"/>
    <x v="31"/>
    <x v="0"/>
    <x v="0"/>
    <x v="0"/>
    <x v="0"/>
    <x v="1414"/>
    <x v="1410"/>
    <x v="95"/>
  </r>
  <r>
    <x v="452"/>
    <x v="5"/>
    <x v="5"/>
    <x v="2"/>
    <x v="5"/>
    <x v="6"/>
    <x v="6"/>
    <x v="0"/>
    <x v="0"/>
    <x v="0"/>
    <x v="0"/>
    <x v="0"/>
    <x v="0"/>
    <x v="1415"/>
    <x v="1409"/>
    <x v="6"/>
  </r>
  <r>
    <x v="453"/>
    <x v="5"/>
    <x v="5"/>
    <x v="12"/>
    <x v="5"/>
    <x v="6"/>
    <x v="6"/>
    <x v="0"/>
    <x v="0"/>
    <x v="0"/>
    <x v="0"/>
    <x v="0"/>
    <x v="0"/>
    <x v="789"/>
    <x v="1411"/>
    <x v="6"/>
  </r>
  <r>
    <x v="454"/>
    <x v="5"/>
    <x v="5"/>
    <x v="13"/>
    <x v="5"/>
    <x v="6"/>
    <x v="6"/>
    <x v="0"/>
    <x v="0"/>
    <x v="0"/>
    <x v="0"/>
    <x v="0"/>
    <x v="0"/>
    <x v="1416"/>
    <x v="1412"/>
    <x v="6"/>
  </r>
  <r>
    <x v="454"/>
    <x v="5"/>
    <x v="5"/>
    <x v="6"/>
    <x v="5"/>
    <x v="6"/>
    <x v="6"/>
    <x v="0"/>
    <x v="0"/>
    <x v="0"/>
    <x v="0"/>
    <x v="0"/>
    <x v="0"/>
    <x v="1417"/>
    <x v="0"/>
    <x v="6"/>
  </r>
  <r>
    <x v="455"/>
    <x v="5"/>
    <x v="5"/>
    <x v="3"/>
    <x v="5"/>
    <x v="6"/>
    <x v="6"/>
    <x v="0"/>
    <x v="0"/>
    <x v="0"/>
    <x v="0"/>
    <x v="0"/>
    <x v="0"/>
    <x v="1418"/>
    <x v="1413"/>
    <x v="6"/>
  </r>
  <r>
    <x v="455"/>
    <x v="31"/>
    <x v="35"/>
    <x v="1"/>
    <x v="374"/>
    <x v="8"/>
    <x v="557"/>
    <x v="304"/>
    <x v="254"/>
    <x v="0"/>
    <x v="0"/>
    <x v="0"/>
    <x v="0"/>
    <x v="1419"/>
    <x v="1414"/>
    <x v="98"/>
  </r>
  <r>
    <x v="455"/>
    <x v="5"/>
    <x v="5"/>
    <x v="2"/>
    <x v="5"/>
    <x v="6"/>
    <x v="6"/>
    <x v="0"/>
    <x v="0"/>
    <x v="0"/>
    <x v="0"/>
    <x v="0"/>
    <x v="0"/>
    <x v="1420"/>
    <x v="1413"/>
    <x v="6"/>
  </r>
  <r>
    <x v="455"/>
    <x v="36"/>
    <x v="5"/>
    <x v="17"/>
    <x v="234"/>
    <x v="5"/>
    <x v="558"/>
    <x v="0"/>
    <x v="0"/>
    <x v="0"/>
    <x v="0"/>
    <x v="0"/>
    <x v="0"/>
    <x v="1421"/>
    <x v="1415"/>
    <x v="6"/>
  </r>
  <r>
    <x v="456"/>
    <x v="36"/>
    <x v="40"/>
    <x v="18"/>
    <x v="234"/>
    <x v="5"/>
    <x v="6"/>
    <x v="0"/>
    <x v="0"/>
    <x v="0"/>
    <x v="0"/>
    <x v="0"/>
    <x v="0"/>
    <x v="0"/>
    <x v="1415"/>
    <x v="5"/>
  </r>
  <r>
    <x v="457"/>
    <x v="5"/>
    <x v="5"/>
    <x v="6"/>
    <x v="5"/>
    <x v="6"/>
    <x v="6"/>
    <x v="0"/>
    <x v="0"/>
    <x v="0"/>
    <x v="0"/>
    <x v="0"/>
    <x v="0"/>
    <x v="1422"/>
    <x v="1416"/>
    <x v="6"/>
  </r>
  <r>
    <x v="457"/>
    <x v="5"/>
    <x v="5"/>
    <x v="6"/>
    <x v="5"/>
    <x v="6"/>
    <x v="6"/>
    <x v="0"/>
    <x v="0"/>
    <x v="0"/>
    <x v="0"/>
    <x v="0"/>
    <x v="0"/>
    <x v="1423"/>
    <x v="1417"/>
    <x v="6"/>
  </r>
  <r>
    <x v="457"/>
    <x v="5"/>
    <x v="5"/>
    <x v="6"/>
    <x v="5"/>
    <x v="6"/>
    <x v="6"/>
    <x v="0"/>
    <x v="0"/>
    <x v="0"/>
    <x v="0"/>
    <x v="0"/>
    <x v="0"/>
    <x v="1424"/>
    <x v="1418"/>
    <x v="6"/>
  </r>
  <r>
    <x v="457"/>
    <x v="5"/>
    <x v="5"/>
    <x v="6"/>
    <x v="5"/>
    <x v="6"/>
    <x v="6"/>
    <x v="0"/>
    <x v="0"/>
    <x v="0"/>
    <x v="0"/>
    <x v="0"/>
    <x v="0"/>
    <x v="1425"/>
    <x v="1419"/>
    <x v="6"/>
  </r>
  <r>
    <x v="457"/>
    <x v="5"/>
    <x v="5"/>
    <x v="6"/>
    <x v="5"/>
    <x v="6"/>
    <x v="6"/>
    <x v="0"/>
    <x v="0"/>
    <x v="0"/>
    <x v="0"/>
    <x v="0"/>
    <x v="0"/>
    <x v="1426"/>
    <x v="0"/>
    <x v="6"/>
  </r>
  <r>
    <x v="458"/>
    <x v="37"/>
    <x v="41"/>
    <x v="1"/>
    <x v="514"/>
    <x v="7"/>
    <x v="317"/>
    <x v="106"/>
    <x v="345"/>
    <x v="0"/>
    <x v="34"/>
    <x v="0"/>
    <x v="0"/>
    <x v="1427"/>
    <x v="1420"/>
    <x v="10"/>
  </r>
  <r>
    <x v="458"/>
    <x v="5"/>
    <x v="5"/>
    <x v="2"/>
    <x v="5"/>
    <x v="6"/>
    <x v="6"/>
    <x v="0"/>
    <x v="0"/>
    <x v="0"/>
    <x v="0"/>
    <x v="0"/>
    <x v="0"/>
    <x v="1428"/>
    <x v="0"/>
    <x v="6"/>
  </r>
  <r>
    <x v="459"/>
    <x v="5"/>
    <x v="5"/>
    <x v="3"/>
    <x v="5"/>
    <x v="6"/>
    <x v="6"/>
    <x v="0"/>
    <x v="0"/>
    <x v="0"/>
    <x v="0"/>
    <x v="0"/>
    <x v="0"/>
    <x v="1429"/>
    <x v="1421"/>
    <x v="6"/>
  </r>
  <r>
    <x v="459"/>
    <x v="36"/>
    <x v="40"/>
    <x v="4"/>
    <x v="515"/>
    <x v="5"/>
    <x v="230"/>
    <x v="159"/>
    <x v="70"/>
    <x v="99"/>
    <x v="0"/>
    <x v="0"/>
    <x v="0"/>
    <x v="1430"/>
    <x v="1422"/>
    <x v="6"/>
  </r>
  <r>
    <x v="460"/>
    <x v="5"/>
    <x v="5"/>
    <x v="12"/>
    <x v="5"/>
    <x v="6"/>
    <x v="6"/>
    <x v="0"/>
    <x v="0"/>
    <x v="0"/>
    <x v="0"/>
    <x v="0"/>
    <x v="0"/>
    <x v="1431"/>
    <x v="1423"/>
    <x v="6"/>
  </r>
  <r>
    <x v="460"/>
    <x v="5"/>
    <x v="5"/>
    <x v="6"/>
    <x v="5"/>
    <x v="6"/>
    <x v="6"/>
    <x v="0"/>
    <x v="0"/>
    <x v="0"/>
    <x v="0"/>
    <x v="0"/>
    <x v="0"/>
    <x v="1432"/>
    <x v="1424"/>
    <x v="6"/>
  </r>
  <r>
    <x v="460"/>
    <x v="5"/>
    <x v="5"/>
    <x v="5"/>
    <x v="5"/>
    <x v="6"/>
    <x v="6"/>
    <x v="0"/>
    <x v="0"/>
    <x v="0"/>
    <x v="0"/>
    <x v="0"/>
    <x v="0"/>
    <x v="1433"/>
    <x v="1425"/>
    <x v="6"/>
  </r>
  <r>
    <x v="461"/>
    <x v="31"/>
    <x v="35"/>
    <x v="1"/>
    <x v="450"/>
    <x v="8"/>
    <x v="559"/>
    <x v="156"/>
    <x v="246"/>
    <x v="0"/>
    <x v="0"/>
    <x v="0"/>
    <x v="0"/>
    <x v="1434"/>
    <x v="1426"/>
    <x v="99"/>
  </r>
  <r>
    <x v="461"/>
    <x v="5"/>
    <x v="5"/>
    <x v="2"/>
    <x v="5"/>
    <x v="6"/>
    <x v="6"/>
    <x v="0"/>
    <x v="0"/>
    <x v="0"/>
    <x v="0"/>
    <x v="0"/>
    <x v="0"/>
    <x v="1435"/>
    <x v="1425"/>
    <x v="6"/>
  </r>
  <r>
    <x v="462"/>
    <x v="37"/>
    <x v="41"/>
    <x v="8"/>
    <x v="516"/>
    <x v="7"/>
    <x v="560"/>
    <x v="305"/>
    <x v="251"/>
    <x v="243"/>
    <x v="34"/>
    <x v="0"/>
    <x v="0"/>
    <x v="1436"/>
    <x v="1427"/>
    <x v="6"/>
  </r>
  <r>
    <x v="462"/>
    <x v="5"/>
    <x v="5"/>
    <x v="6"/>
    <x v="5"/>
    <x v="6"/>
    <x v="6"/>
    <x v="0"/>
    <x v="0"/>
    <x v="0"/>
    <x v="0"/>
    <x v="0"/>
    <x v="0"/>
    <x v="1437"/>
    <x v="1428"/>
    <x v="6"/>
  </r>
  <r>
    <x v="462"/>
    <x v="5"/>
    <x v="5"/>
    <x v="5"/>
    <x v="5"/>
    <x v="6"/>
    <x v="6"/>
    <x v="0"/>
    <x v="0"/>
    <x v="0"/>
    <x v="0"/>
    <x v="0"/>
    <x v="0"/>
    <x v="1438"/>
    <x v="1429"/>
    <x v="6"/>
  </r>
  <r>
    <x v="462"/>
    <x v="5"/>
    <x v="5"/>
    <x v="6"/>
    <x v="5"/>
    <x v="6"/>
    <x v="6"/>
    <x v="0"/>
    <x v="0"/>
    <x v="0"/>
    <x v="0"/>
    <x v="0"/>
    <x v="0"/>
    <x v="1439"/>
    <x v="1430"/>
    <x v="6"/>
  </r>
  <r>
    <x v="462"/>
    <x v="5"/>
    <x v="5"/>
    <x v="5"/>
    <x v="5"/>
    <x v="6"/>
    <x v="6"/>
    <x v="0"/>
    <x v="0"/>
    <x v="0"/>
    <x v="0"/>
    <x v="0"/>
    <x v="0"/>
    <x v="1374"/>
    <x v="1431"/>
    <x v="6"/>
  </r>
  <r>
    <x v="462"/>
    <x v="5"/>
    <x v="5"/>
    <x v="6"/>
    <x v="5"/>
    <x v="6"/>
    <x v="6"/>
    <x v="0"/>
    <x v="0"/>
    <x v="0"/>
    <x v="0"/>
    <x v="0"/>
    <x v="0"/>
    <x v="1440"/>
    <x v="1432"/>
    <x v="6"/>
  </r>
  <r>
    <x v="462"/>
    <x v="5"/>
    <x v="5"/>
    <x v="5"/>
    <x v="5"/>
    <x v="6"/>
    <x v="6"/>
    <x v="0"/>
    <x v="0"/>
    <x v="0"/>
    <x v="0"/>
    <x v="0"/>
    <x v="0"/>
    <x v="1441"/>
    <x v="1433"/>
    <x v="6"/>
  </r>
  <r>
    <x v="462"/>
    <x v="5"/>
    <x v="5"/>
    <x v="6"/>
    <x v="5"/>
    <x v="6"/>
    <x v="6"/>
    <x v="0"/>
    <x v="0"/>
    <x v="0"/>
    <x v="0"/>
    <x v="0"/>
    <x v="0"/>
    <x v="1442"/>
    <x v="1434"/>
    <x v="6"/>
  </r>
  <r>
    <x v="462"/>
    <x v="5"/>
    <x v="5"/>
    <x v="6"/>
    <x v="5"/>
    <x v="6"/>
    <x v="6"/>
    <x v="0"/>
    <x v="0"/>
    <x v="0"/>
    <x v="0"/>
    <x v="0"/>
    <x v="0"/>
    <x v="1443"/>
    <x v="1435"/>
    <x v="6"/>
  </r>
  <r>
    <x v="462"/>
    <x v="5"/>
    <x v="5"/>
    <x v="6"/>
    <x v="5"/>
    <x v="6"/>
    <x v="6"/>
    <x v="0"/>
    <x v="0"/>
    <x v="0"/>
    <x v="0"/>
    <x v="0"/>
    <x v="0"/>
    <x v="1444"/>
    <x v="1436"/>
    <x v="6"/>
  </r>
  <r>
    <x v="462"/>
    <x v="5"/>
    <x v="5"/>
    <x v="6"/>
    <x v="5"/>
    <x v="6"/>
    <x v="6"/>
    <x v="0"/>
    <x v="0"/>
    <x v="0"/>
    <x v="0"/>
    <x v="0"/>
    <x v="0"/>
    <x v="1445"/>
    <x v="1437"/>
    <x v="6"/>
  </r>
  <r>
    <x v="462"/>
    <x v="5"/>
    <x v="5"/>
    <x v="6"/>
    <x v="5"/>
    <x v="6"/>
    <x v="6"/>
    <x v="0"/>
    <x v="0"/>
    <x v="0"/>
    <x v="0"/>
    <x v="0"/>
    <x v="0"/>
    <x v="1446"/>
    <x v="1438"/>
    <x v="6"/>
  </r>
  <r>
    <x v="462"/>
    <x v="5"/>
    <x v="5"/>
    <x v="6"/>
    <x v="5"/>
    <x v="6"/>
    <x v="6"/>
    <x v="0"/>
    <x v="0"/>
    <x v="0"/>
    <x v="0"/>
    <x v="0"/>
    <x v="0"/>
    <x v="1447"/>
    <x v="1439"/>
    <x v="6"/>
  </r>
  <r>
    <x v="462"/>
    <x v="5"/>
    <x v="5"/>
    <x v="6"/>
    <x v="5"/>
    <x v="6"/>
    <x v="6"/>
    <x v="0"/>
    <x v="0"/>
    <x v="0"/>
    <x v="0"/>
    <x v="0"/>
    <x v="0"/>
    <x v="1448"/>
    <x v="1440"/>
    <x v="6"/>
  </r>
  <r>
    <x v="463"/>
    <x v="37"/>
    <x v="41"/>
    <x v="1"/>
    <x v="517"/>
    <x v="7"/>
    <x v="561"/>
    <x v="187"/>
    <x v="346"/>
    <x v="0"/>
    <x v="33"/>
    <x v="0"/>
    <x v="0"/>
    <x v="1449"/>
    <x v="1441"/>
    <x v="10"/>
  </r>
  <r>
    <x v="463"/>
    <x v="5"/>
    <x v="5"/>
    <x v="2"/>
    <x v="5"/>
    <x v="6"/>
    <x v="6"/>
    <x v="0"/>
    <x v="0"/>
    <x v="0"/>
    <x v="0"/>
    <x v="0"/>
    <x v="0"/>
    <x v="1450"/>
    <x v="1440"/>
    <x v="6"/>
  </r>
  <r>
    <x v="464"/>
    <x v="37"/>
    <x v="41"/>
    <x v="8"/>
    <x v="518"/>
    <x v="7"/>
    <x v="562"/>
    <x v="306"/>
    <x v="347"/>
    <x v="244"/>
    <x v="34"/>
    <x v="0"/>
    <x v="0"/>
    <x v="1451"/>
    <x v="1442"/>
    <x v="6"/>
  </r>
  <r>
    <x v="464"/>
    <x v="5"/>
    <x v="5"/>
    <x v="6"/>
    <x v="5"/>
    <x v="6"/>
    <x v="6"/>
    <x v="0"/>
    <x v="0"/>
    <x v="0"/>
    <x v="0"/>
    <x v="0"/>
    <x v="0"/>
    <x v="1452"/>
    <x v="1443"/>
    <x v="6"/>
  </r>
  <r>
    <x v="464"/>
    <x v="5"/>
    <x v="5"/>
    <x v="5"/>
    <x v="5"/>
    <x v="6"/>
    <x v="6"/>
    <x v="0"/>
    <x v="0"/>
    <x v="0"/>
    <x v="0"/>
    <x v="0"/>
    <x v="0"/>
    <x v="1453"/>
    <x v="1444"/>
    <x v="6"/>
  </r>
  <r>
    <x v="465"/>
    <x v="31"/>
    <x v="35"/>
    <x v="8"/>
    <x v="374"/>
    <x v="8"/>
    <x v="557"/>
    <x v="304"/>
    <x v="254"/>
    <x v="245"/>
    <x v="0"/>
    <x v="0"/>
    <x v="0"/>
    <x v="1454"/>
    <x v="1445"/>
    <x v="98"/>
  </r>
  <r>
    <x v="465"/>
    <x v="38"/>
    <x v="42"/>
    <x v="19"/>
    <x v="519"/>
    <x v="14"/>
    <x v="563"/>
    <x v="307"/>
    <x v="348"/>
    <x v="246"/>
    <x v="9"/>
    <x v="0"/>
    <x v="0"/>
    <x v="1455"/>
    <x v="1446"/>
    <x v="6"/>
  </r>
  <r>
    <x v="465"/>
    <x v="37"/>
    <x v="41"/>
    <x v="1"/>
    <x v="520"/>
    <x v="7"/>
    <x v="564"/>
    <x v="208"/>
    <x v="331"/>
    <x v="0"/>
    <x v="34"/>
    <x v="0"/>
    <x v="0"/>
    <x v="1456"/>
    <x v="1447"/>
    <x v="10"/>
  </r>
  <r>
    <x v="465"/>
    <x v="5"/>
    <x v="5"/>
    <x v="2"/>
    <x v="5"/>
    <x v="6"/>
    <x v="6"/>
    <x v="0"/>
    <x v="0"/>
    <x v="0"/>
    <x v="0"/>
    <x v="0"/>
    <x v="0"/>
    <x v="1457"/>
    <x v="1446"/>
    <x v="6"/>
  </r>
  <r>
    <x v="465"/>
    <x v="38"/>
    <x v="42"/>
    <x v="20"/>
    <x v="5"/>
    <x v="6"/>
    <x v="6"/>
    <x v="0"/>
    <x v="0"/>
    <x v="0"/>
    <x v="0"/>
    <x v="0"/>
    <x v="0"/>
    <x v="0"/>
    <x v="0"/>
    <x v="6"/>
  </r>
  <r>
    <x v="465"/>
    <x v="5"/>
    <x v="5"/>
    <x v="6"/>
    <x v="5"/>
    <x v="6"/>
    <x v="6"/>
    <x v="0"/>
    <x v="0"/>
    <x v="0"/>
    <x v="0"/>
    <x v="0"/>
    <x v="0"/>
    <x v="1458"/>
    <x v="1448"/>
    <x v="6"/>
  </r>
  <r>
    <x v="465"/>
    <x v="5"/>
    <x v="5"/>
    <x v="5"/>
    <x v="5"/>
    <x v="6"/>
    <x v="6"/>
    <x v="0"/>
    <x v="0"/>
    <x v="0"/>
    <x v="0"/>
    <x v="0"/>
    <x v="0"/>
    <x v="1459"/>
    <x v="1449"/>
    <x v="6"/>
  </r>
  <r>
    <x v="465"/>
    <x v="5"/>
    <x v="5"/>
    <x v="6"/>
    <x v="5"/>
    <x v="6"/>
    <x v="6"/>
    <x v="0"/>
    <x v="0"/>
    <x v="0"/>
    <x v="0"/>
    <x v="0"/>
    <x v="0"/>
    <x v="629"/>
    <x v="1450"/>
    <x v="6"/>
  </r>
  <r>
    <x v="465"/>
    <x v="5"/>
    <x v="5"/>
    <x v="5"/>
    <x v="5"/>
    <x v="6"/>
    <x v="6"/>
    <x v="0"/>
    <x v="0"/>
    <x v="0"/>
    <x v="0"/>
    <x v="0"/>
    <x v="0"/>
    <x v="1460"/>
    <x v="1451"/>
    <x v="6"/>
  </r>
  <r>
    <x v="466"/>
    <x v="37"/>
    <x v="41"/>
    <x v="8"/>
    <x v="521"/>
    <x v="7"/>
    <x v="565"/>
    <x v="308"/>
    <x v="349"/>
    <x v="247"/>
    <x v="34"/>
    <x v="0"/>
    <x v="0"/>
    <x v="1461"/>
    <x v="1452"/>
    <x v="6"/>
  </r>
  <r>
    <x v="466"/>
    <x v="5"/>
    <x v="5"/>
    <x v="21"/>
    <x v="5"/>
    <x v="6"/>
    <x v="6"/>
    <x v="0"/>
    <x v="0"/>
    <x v="0"/>
    <x v="0"/>
    <x v="0"/>
    <x v="0"/>
    <x v="1462"/>
    <x v="1453"/>
    <x v="6"/>
  </r>
  <r>
    <x v="466"/>
    <x v="5"/>
    <x v="5"/>
    <x v="6"/>
    <x v="5"/>
    <x v="6"/>
    <x v="6"/>
    <x v="0"/>
    <x v="0"/>
    <x v="0"/>
    <x v="0"/>
    <x v="0"/>
    <x v="0"/>
    <x v="1463"/>
    <x v="1454"/>
    <x v="6"/>
  </r>
  <r>
    <x v="466"/>
    <x v="5"/>
    <x v="5"/>
    <x v="5"/>
    <x v="5"/>
    <x v="6"/>
    <x v="6"/>
    <x v="0"/>
    <x v="0"/>
    <x v="0"/>
    <x v="0"/>
    <x v="0"/>
    <x v="0"/>
    <x v="1464"/>
    <x v="1455"/>
    <x v="6"/>
  </r>
  <r>
    <x v="466"/>
    <x v="5"/>
    <x v="5"/>
    <x v="6"/>
    <x v="5"/>
    <x v="6"/>
    <x v="6"/>
    <x v="0"/>
    <x v="0"/>
    <x v="0"/>
    <x v="0"/>
    <x v="0"/>
    <x v="0"/>
    <x v="1465"/>
    <x v="1456"/>
    <x v="6"/>
  </r>
  <r>
    <x v="466"/>
    <x v="5"/>
    <x v="5"/>
    <x v="5"/>
    <x v="5"/>
    <x v="6"/>
    <x v="6"/>
    <x v="0"/>
    <x v="0"/>
    <x v="0"/>
    <x v="0"/>
    <x v="0"/>
    <x v="0"/>
    <x v="1466"/>
    <x v="1457"/>
    <x v="6"/>
  </r>
  <r>
    <x v="467"/>
    <x v="31"/>
    <x v="35"/>
    <x v="8"/>
    <x v="522"/>
    <x v="8"/>
    <x v="566"/>
    <x v="309"/>
    <x v="242"/>
    <x v="248"/>
    <x v="0"/>
    <x v="0"/>
    <x v="0"/>
    <x v="1467"/>
    <x v="1458"/>
    <x v="95"/>
  </r>
  <r>
    <x v="467"/>
    <x v="38"/>
    <x v="42"/>
    <x v="22"/>
    <x v="523"/>
    <x v="14"/>
    <x v="567"/>
    <x v="168"/>
    <x v="318"/>
    <x v="0"/>
    <x v="9"/>
    <x v="0"/>
    <x v="0"/>
    <x v="1468"/>
    <x v="1459"/>
    <x v="100"/>
  </r>
  <r>
    <x v="467"/>
    <x v="38"/>
    <x v="42"/>
    <x v="23"/>
    <x v="5"/>
    <x v="6"/>
    <x v="6"/>
    <x v="0"/>
    <x v="0"/>
    <x v="0"/>
    <x v="0"/>
    <x v="0"/>
    <x v="0"/>
    <x v="0"/>
    <x v="0"/>
    <x v="6"/>
  </r>
  <r>
    <x v="467"/>
    <x v="5"/>
    <x v="5"/>
    <x v="5"/>
    <x v="5"/>
    <x v="6"/>
    <x v="6"/>
    <x v="0"/>
    <x v="0"/>
    <x v="0"/>
    <x v="0"/>
    <x v="0"/>
    <x v="0"/>
    <x v="1469"/>
    <x v="1460"/>
    <x v="6"/>
  </r>
  <r>
    <x v="467"/>
    <x v="5"/>
    <x v="5"/>
    <x v="21"/>
    <x v="5"/>
    <x v="6"/>
    <x v="6"/>
    <x v="0"/>
    <x v="0"/>
    <x v="0"/>
    <x v="0"/>
    <x v="0"/>
    <x v="0"/>
    <x v="1470"/>
    <x v="1461"/>
    <x v="6"/>
  </r>
  <r>
    <x v="467"/>
    <x v="5"/>
    <x v="5"/>
    <x v="6"/>
    <x v="5"/>
    <x v="6"/>
    <x v="6"/>
    <x v="0"/>
    <x v="0"/>
    <x v="0"/>
    <x v="0"/>
    <x v="0"/>
    <x v="0"/>
    <x v="1227"/>
    <x v="1462"/>
    <x v="6"/>
  </r>
  <r>
    <x v="467"/>
    <x v="5"/>
    <x v="5"/>
    <x v="5"/>
    <x v="5"/>
    <x v="6"/>
    <x v="6"/>
    <x v="0"/>
    <x v="0"/>
    <x v="0"/>
    <x v="0"/>
    <x v="0"/>
    <x v="0"/>
    <x v="1471"/>
    <x v="1463"/>
    <x v="6"/>
  </r>
  <r>
    <x v="467"/>
    <x v="5"/>
    <x v="5"/>
    <x v="6"/>
    <x v="5"/>
    <x v="6"/>
    <x v="6"/>
    <x v="0"/>
    <x v="0"/>
    <x v="0"/>
    <x v="0"/>
    <x v="0"/>
    <x v="0"/>
    <x v="1472"/>
    <x v="1464"/>
    <x v="6"/>
  </r>
  <r>
    <x v="467"/>
    <x v="5"/>
    <x v="5"/>
    <x v="5"/>
    <x v="5"/>
    <x v="6"/>
    <x v="6"/>
    <x v="0"/>
    <x v="0"/>
    <x v="0"/>
    <x v="0"/>
    <x v="0"/>
    <x v="0"/>
    <x v="1473"/>
    <x v="1465"/>
    <x v="6"/>
  </r>
  <r>
    <x v="468"/>
    <x v="35"/>
    <x v="39"/>
    <x v="14"/>
    <x v="5"/>
    <x v="61"/>
    <x v="568"/>
    <x v="0"/>
    <x v="0"/>
    <x v="0"/>
    <x v="0"/>
    <x v="0"/>
    <x v="0"/>
    <x v="1474"/>
    <x v="1466"/>
    <x v="6"/>
  </r>
  <r>
    <x v="468"/>
    <x v="25"/>
    <x v="28"/>
    <x v="1"/>
    <x v="524"/>
    <x v="31"/>
    <x v="569"/>
    <x v="310"/>
    <x v="350"/>
    <x v="0"/>
    <x v="0"/>
    <x v="0"/>
    <x v="0"/>
    <x v="1475"/>
    <x v="1467"/>
    <x v="81"/>
  </r>
  <r>
    <x v="468"/>
    <x v="5"/>
    <x v="5"/>
    <x v="2"/>
    <x v="5"/>
    <x v="6"/>
    <x v="6"/>
    <x v="0"/>
    <x v="0"/>
    <x v="0"/>
    <x v="0"/>
    <x v="0"/>
    <x v="0"/>
    <x v="1476"/>
    <x v="1466"/>
    <x v="6"/>
  </r>
  <r>
    <x v="469"/>
    <x v="35"/>
    <x v="43"/>
    <x v="1"/>
    <x v="525"/>
    <x v="62"/>
    <x v="570"/>
    <x v="311"/>
    <x v="223"/>
    <x v="0"/>
    <x v="62"/>
    <x v="0"/>
    <x v="0"/>
    <x v="1477"/>
    <x v="1468"/>
    <x v="101"/>
  </r>
  <r>
    <x v="469"/>
    <x v="25"/>
    <x v="28"/>
    <x v="1"/>
    <x v="526"/>
    <x v="31"/>
    <x v="571"/>
    <x v="168"/>
    <x v="31"/>
    <x v="0"/>
    <x v="0"/>
    <x v="0"/>
    <x v="0"/>
    <x v="1478"/>
    <x v="1469"/>
    <x v="96"/>
  </r>
  <r>
    <x v="469"/>
    <x v="5"/>
    <x v="5"/>
    <x v="2"/>
    <x v="5"/>
    <x v="6"/>
    <x v="6"/>
    <x v="0"/>
    <x v="0"/>
    <x v="0"/>
    <x v="0"/>
    <x v="0"/>
    <x v="0"/>
    <x v="1479"/>
    <x v="1470"/>
    <x v="6"/>
  </r>
  <r>
    <x v="469"/>
    <x v="5"/>
    <x v="5"/>
    <x v="2"/>
    <x v="5"/>
    <x v="6"/>
    <x v="6"/>
    <x v="0"/>
    <x v="0"/>
    <x v="0"/>
    <x v="0"/>
    <x v="0"/>
    <x v="0"/>
    <x v="1480"/>
    <x v="1466"/>
    <x v="6"/>
  </r>
  <r>
    <x v="470"/>
    <x v="31"/>
    <x v="35"/>
    <x v="1"/>
    <x v="374"/>
    <x v="8"/>
    <x v="557"/>
    <x v="304"/>
    <x v="254"/>
    <x v="0"/>
    <x v="0"/>
    <x v="0"/>
    <x v="0"/>
    <x v="1419"/>
    <x v="1471"/>
    <x v="98"/>
  </r>
  <r>
    <x v="470"/>
    <x v="5"/>
    <x v="5"/>
    <x v="2"/>
    <x v="5"/>
    <x v="6"/>
    <x v="6"/>
    <x v="0"/>
    <x v="0"/>
    <x v="0"/>
    <x v="0"/>
    <x v="0"/>
    <x v="0"/>
    <x v="1420"/>
    <x v="1466"/>
    <x v="6"/>
  </r>
  <r>
    <x v="471"/>
    <x v="37"/>
    <x v="41"/>
    <x v="1"/>
    <x v="527"/>
    <x v="7"/>
    <x v="572"/>
    <x v="295"/>
    <x v="75"/>
    <x v="0"/>
    <x v="34"/>
    <x v="0"/>
    <x v="0"/>
    <x v="1481"/>
    <x v="1472"/>
    <x v="10"/>
  </r>
  <r>
    <x v="471"/>
    <x v="25"/>
    <x v="28"/>
    <x v="8"/>
    <x v="460"/>
    <x v="31"/>
    <x v="491"/>
    <x v="282"/>
    <x v="318"/>
    <x v="249"/>
    <x v="0"/>
    <x v="0"/>
    <x v="0"/>
    <x v="1482"/>
    <x v="1473"/>
    <x v="81"/>
  </r>
  <r>
    <x v="471"/>
    <x v="5"/>
    <x v="5"/>
    <x v="2"/>
    <x v="5"/>
    <x v="6"/>
    <x v="6"/>
    <x v="0"/>
    <x v="0"/>
    <x v="0"/>
    <x v="0"/>
    <x v="0"/>
    <x v="0"/>
    <x v="1483"/>
    <x v="1474"/>
    <x v="6"/>
  </r>
  <r>
    <x v="471"/>
    <x v="5"/>
    <x v="5"/>
    <x v="6"/>
    <x v="5"/>
    <x v="6"/>
    <x v="6"/>
    <x v="0"/>
    <x v="0"/>
    <x v="0"/>
    <x v="0"/>
    <x v="0"/>
    <x v="0"/>
    <x v="1484"/>
    <x v="1475"/>
    <x v="6"/>
  </r>
  <r>
    <x v="471"/>
    <x v="5"/>
    <x v="5"/>
    <x v="5"/>
    <x v="5"/>
    <x v="6"/>
    <x v="6"/>
    <x v="0"/>
    <x v="0"/>
    <x v="0"/>
    <x v="0"/>
    <x v="0"/>
    <x v="0"/>
    <x v="1485"/>
    <x v="1476"/>
    <x v="6"/>
  </r>
  <r>
    <x v="471"/>
    <x v="5"/>
    <x v="5"/>
    <x v="6"/>
    <x v="5"/>
    <x v="6"/>
    <x v="6"/>
    <x v="0"/>
    <x v="0"/>
    <x v="0"/>
    <x v="0"/>
    <x v="0"/>
    <x v="0"/>
    <x v="1486"/>
    <x v="1477"/>
    <x v="6"/>
  </r>
  <r>
    <x v="471"/>
    <x v="5"/>
    <x v="5"/>
    <x v="5"/>
    <x v="5"/>
    <x v="6"/>
    <x v="6"/>
    <x v="0"/>
    <x v="0"/>
    <x v="0"/>
    <x v="0"/>
    <x v="0"/>
    <x v="0"/>
    <x v="1487"/>
    <x v="1478"/>
    <x v="6"/>
  </r>
  <r>
    <x v="472"/>
    <x v="25"/>
    <x v="28"/>
    <x v="8"/>
    <x v="275"/>
    <x v="31"/>
    <x v="573"/>
    <x v="306"/>
    <x v="250"/>
    <x v="250"/>
    <x v="0"/>
    <x v="0"/>
    <x v="0"/>
    <x v="1488"/>
    <x v="1479"/>
    <x v="87"/>
  </r>
  <r>
    <x v="472"/>
    <x v="37"/>
    <x v="41"/>
    <x v="1"/>
    <x v="528"/>
    <x v="7"/>
    <x v="574"/>
    <x v="312"/>
    <x v="334"/>
    <x v="0"/>
    <x v="34"/>
    <x v="0"/>
    <x v="0"/>
    <x v="1489"/>
    <x v="1480"/>
    <x v="2"/>
  </r>
  <r>
    <x v="472"/>
    <x v="5"/>
    <x v="5"/>
    <x v="2"/>
    <x v="5"/>
    <x v="6"/>
    <x v="6"/>
    <x v="0"/>
    <x v="0"/>
    <x v="0"/>
    <x v="0"/>
    <x v="0"/>
    <x v="0"/>
    <x v="1490"/>
    <x v="1479"/>
    <x v="6"/>
  </r>
  <r>
    <x v="472"/>
    <x v="5"/>
    <x v="5"/>
    <x v="6"/>
    <x v="5"/>
    <x v="6"/>
    <x v="6"/>
    <x v="0"/>
    <x v="0"/>
    <x v="0"/>
    <x v="0"/>
    <x v="0"/>
    <x v="0"/>
    <x v="282"/>
    <x v="1481"/>
    <x v="6"/>
  </r>
  <r>
    <x v="472"/>
    <x v="5"/>
    <x v="5"/>
    <x v="5"/>
    <x v="5"/>
    <x v="6"/>
    <x v="6"/>
    <x v="0"/>
    <x v="0"/>
    <x v="0"/>
    <x v="0"/>
    <x v="0"/>
    <x v="0"/>
    <x v="1491"/>
    <x v="1482"/>
    <x v="6"/>
  </r>
  <r>
    <x v="472"/>
    <x v="5"/>
    <x v="5"/>
    <x v="6"/>
    <x v="5"/>
    <x v="6"/>
    <x v="6"/>
    <x v="0"/>
    <x v="0"/>
    <x v="0"/>
    <x v="0"/>
    <x v="0"/>
    <x v="0"/>
    <x v="1492"/>
    <x v="1483"/>
    <x v="6"/>
  </r>
  <r>
    <x v="472"/>
    <x v="5"/>
    <x v="5"/>
    <x v="5"/>
    <x v="5"/>
    <x v="6"/>
    <x v="6"/>
    <x v="0"/>
    <x v="0"/>
    <x v="0"/>
    <x v="0"/>
    <x v="0"/>
    <x v="0"/>
    <x v="1493"/>
    <x v="1484"/>
    <x v="6"/>
  </r>
  <r>
    <x v="473"/>
    <x v="5"/>
    <x v="5"/>
    <x v="12"/>
    <x v="5"/>
    <x v="6"/>
    <x v="6"/>
    <x v="0"/>
    <x v="0"/>
    <x v="0"/>
    <x v="0"/>
    <x v="0"/>
    <x v="0"/>
    <x v="1494"/>
    <x v="1485"/>
    <x v="6"/>
  </r>
  <r>
    <x v="473"/>
    <x v="37"/>
    <x v="41"/>
    <x v="8"/>
    <x v="529"/>
    <x v="2"/>
    <x v="575"/>
    <x v="16"/>
    <x v="351"/>
    <x v="251"/>
    <x v="63"/>
    <x v="0"/>
    <x v="0"/>
    <x v="1495"/>
    <x v="1486"/>
    <x v="6"/>
  </r>
  <r>
    <x v="473"/>
    <x v="5"/>
    <x v="5"/>
    <x v="6"/>
    <x v="5"/>
    <x v="6"/>
    <x v="6"/>
    <x v="0"/>
    <x v="0"/>
    <x v="0"/>
    <x v="0"/>
    <x v="0"/>
    <x v="0"/>
    <x v="1249"/>
    <x v="1487"/>
    <x v="6"/>
  </r>
  <r>
    <x v="473"/>
    <x v="5"/>
    <x v="5"/>
    <x v="5"/>
    <x v="5"/>
    <x v="6"/>
    <x v="6"/>
    <x v="0"/>
    <x v="0"/>
    <x v="0"/>
    <x v="0"/>
    <x v="0"/>
    <x v="0"/>
    <x v="1496"/>
    <x v="1488"/>
    <x v="6"/>
  </r>
  <r>
    <x v="473"/>
    <x v="5"/>
    <x v="5"/>
    <x v="6"/>
    <x v="5"/>
    <x v="6"/>
    <x v="6"/>
    <x v="0"/>
    <x v="0"/>
    <x v="0"/>
    <x v="0"/>
    <x v="0"/>
    <x v="0"/>
    <x v="1497"/>
    <x v="1489"/>
    <x v="6"/>
  </r>
  <r>
    <x v="473"/>
    <x v="5"/>
    <x v="5"/>
    <x v="5"/>
    <x v="5"/>
    <x v="6"/>
    <x v="6"/>
    <x v="0"/>
    <x v="0"/>
    <x v="0"/>
    <x v="0"/>
    <x v="0"/>
    <x v="0"/>
    <x v="1434"/>
    <x v="1490"/>
    <x v="6"/>
  </r>
  <r>
    <x v="473"/>
    <x v="5"/>
    <x v="5"/>
    <x v="6"/>
    <x v="5"/>
    <x v="6"/>
    <x v="6"/>
    <x v="0"/>
    <x v="0"/>
    <x v="0"/>
    <x v="0"/>
    <x v="0"/>
    <x v="0"/>
    <x v="1498"/>
    <x v="1491"/>
    <x v="6"/>
  </r>
  <r>
    <x v="473"/>
    <x v="5"/>
    <x v="5"/>
    <x v="5"/>
    <x v="5"/>
    <x v="6"/>
    <x v="6"/>
    <x v="0"/>
    <x v="0"/>
    <x v="0"/>
    <x v="0"/>
    <x v="0"/>
    <x v="0"/>
    <x v="1499"/>
    <x v="1492"/>
    <x v="6"/>
  </r>
  <r>
    <x v="474"/>
    <x v="5"/>
    <x v="5"/>
    <x v="13"/>
    <x v="5"/>
    <x v="6"/>
    <x v="6"/>
    <x v="0"/>
    <x v="0"/>
    <x v="0"/>
    <x v="0"/>
    <x v="0"/>
    <x v="0"/>
    <x v="1500"/>
    <x v="1493"/>
    <x v="6"/>
  </r>
  <r>
    <x v="474"/>
    <x v="37"/>
    <x v="41"/>
    <x v="1"/>
    <x v="530"/>
    <x v="7"/>
    <x v="264"/>
    <x v="313"/>
    <x v="352"/>
    <x v="0"/>
    <x v="42"/>
    <x v="0"/>
    <x v="0"/>
    <x v="1501"/>
    <x v="1494"/>
    <x v="10"/>
  </r>
  <r>
    <x v="474"/>
    <x v="5"/>
    <x v="5"/>
    <x v="2"/>
    <x v="5"/>
    <x v="6"/>
    <x v="6"/>
    <x v="0"/>
    <x v="0"/>
    <x v="0"/>
    <x v="0"/>
    <x v="0"/>
    <x v="0"/>
    <x v="1502"/>
    <x v="1493"/>
    <x v="6"/>
  </r>
  <r>
    <x v="474"/>
    <x v="5"/>
    <x v="5"/>
    <x v="6"/>
    <x v="5"/>
    <x v="6"/>
    <x v="6"/>
    <x v="0"/>
    <x v="0"/>
    <x v="0"/>
    <x v="0"/>
    <x v="0"/>
    <x v="0"/>
    <x v="1503"/>
    <x v="1495"/>
    <x v="6"/>
  </r>
  <r>
    <x v="474"/>
    <x v="5"/>
    <x v="5"/>
    <x v="6"/>
    <x v="5"/>
    <x v="6"/>
    <x v="6"/>
    <x v="0"/>
    <x v="0"/>
    <x v="0"/>
    <x v="0"/>
    <x v="0"/>
    <x v="0"/>
    <x v="1504"/>
    <x v="1496"/>
    <x v="6"/>
  </r>
  <r>
    <x v="474"/>
    <x v="5"/>
    <x v="5"/>
    <x v="6"/>
    <x v="5"/>
    <x v="6"/>
    <x v="6"/>
    <x v="0"/>
    <x v="0"/>
    <x v="0"/>
    <x v="0"/>
    <x v="0"/>
    <x v="0"/>
    <x v="1505"/>
    <x v="0"/>
    <x v="6"/>
  </r>
  <r>
    <x v="475"/>
    <x v="31"/>
    <x v="35"/>
    <x v="8"/>
    <x v="301"/>
    <x v="8"/>
    <x v="313"/>
    <x v="185"/>
    <x v="353"/>
    <x v="252"/>
    <x v="0"/>
    <x v="0"/>
    <x v="0"/>
    <x v="1506"/>
    <x v="1497"/>
    <x v="95"/>
  </r>
  <r>
    <x v="475"/>
    <x v="5"/>
    <x v="5"/>
    <x v="6"/>
    <x v="5"/>
    <x v="6"/>
    <x v="6"/>
    <x v="0"/>
    <x v="0"/>
    <x v="0"/>
    <x v="0"/>
    <x v="0"/>
    <x v="0"/>
    <x v="1503"/>
    <x v="1498"/>
    <x v="6"/>
  </r>
  <r>
    <x v="475"/>
    <x v="5"/>
    <x v="5"/>
    <x v="5"/>
    <x v="5"/>
    <x v="6"/>
    <x v="6"/>
    <x v="0"/>
    <x v="0"/>
    <x v="0"/>
    <x v="0"/>
    <x v="0"/>
    <x v="0"/>
    <x v="1507"/>
    <x v="1499"/>
    <x v="6"/>
  </r>
  <r>
    <x v="475"/>
    <x v="5"/>
    <x v="5"/>
    <x v="6"/>
    <x v="5"/>
    <x v="6"/>
    <x v="6"/>
    <x v="0"/>
    <x v="0"/>
    <x v="0"/>
    <x v="0"/>
    <x v="0"/>
    <x v="0"/>
    <x v="1508"/>
    <x v="1500"/>
    <x v="6"/>
  </r>
  <r>
    <x v="475"/>
    <x v="5"/>
    <x v="5"/>
    <x v="5"/>
    <x v="5"/>
    <x v="6"/>
    <x v="6"/>
    <x v="0"/>
    <x v="0"/>
    <x v="0"/>
    <x v="0"/>
    <x v="0"/>
    <x v="0"/>
    <x v="1509"/>
    <x v="1501"/>
    <x v="6"/>
  </r>
  <r>
    <x v="476"/>
    <x v="37"/>
    <x v="41"/>
    <x v="8"/>
    <x v="531"/>
    <x v="7"/>
    <x v="576"/>
    <x v="195"/>
    <x v="354"/>
    <x v="253"/>
    <x v="42"/>
    <x v="0"/>
    <x v="0"/>
    <x v="1510"/>
    <x v="1502"/>
    <x v="6"/>
  </r>
  <r>
    <x v="476"/>
    <x v="17"/>
    <x v="19"/>
    <x v="19"/>
    <x v="532"/>
    <x v="8"/>
    <x v="577"/>
    <x v="314"/>
    <x v="74"/>
    <x v="0"/>
    <x v="0"/>
    <x v="0"/>
    <x v="0"/>
    <x v="1511"/>
    <x v="1503"/>
    <x v="6"/>
  </r>
  <r>
    <x v="476"/>
    <x v="17"/>
    <x v="19"/>
    <x v="20"/>
    <x v="5"/>
    <x v="6"/>
    <x v="6"/>
    <x v="0"/>
    <x v="0"/>
    <x v="0"/>
    <x v="0"/>
    <x v="0"/>
    <x v="0"/>
    <x v="0"/>
    <x v="0"/>
    <x v="6"/>
  </r>
  <r>
    <x v="476"/>
    <x v="5"/>
    <x v="5"/>
    <x v="6"/>
    <x v="5"/>
    <x v="6"/>
    <x v="6"/>
    <x v="0"/>
    <x v="0"/>
    <x v="0"/>
    <x v="0"/>
    <x v="0"/>
    <x v="0"/>
    <x v="1512"/>
    <x v="1504"/>
    <x v="6"/>
  </r>
  <r>
    <x v="476"/>
    <x v="5"/>
    <x v="5"/>
    <x v="5"/>
    <x v="5"/>
    <x v="6"/>
    <x v="6"/>
    <x v="0"/>
    <x v="0"/>
    <x v="0"/>
    <x v="0"/>
    <x v="0"/>
    <x v="0"/>
    <x v="1513"/>
    <x v="1505"/>
    <x v="6"/>
  </r>
  <r>
    <x v="476"/>
    <x v="5"/>
    <x v="5"/>
    <x v="6"/>
    <x v="5"/>
    <x v="6"/>
    <x v="6"/>
    <x v="0"/>
    <x v="0"/>
    <x v="0"/>
    <x v="0"/>
    <x v="0"/>
    <x v="0"/>
    <x v="1514"/>
    <x v="1506"/>
    <x v="6"/>
  </r>
  <r>
    <x v="476"/>
    <x v="5"/>
    <x v="5"/>
    <x v="5"/>
    <x v="5"/>
    <x v="6"/>
    <x v="6"/>
    <x v="0"/>
    <x v="0"/>
    <x v="0"/>
    <x v="0"/>
    <x v="0"/>
    <x v="0"/>
    <x v="1515"/>
    <x v="1507"/>
    <x v="6"/>
  </r>
  <r>
    <x v="477"/>
    <x v="37"/>
    <x v="41"/>
    <x v="1"/>
    <x v="530"/>
    <x v="7"/>
    <x v="264"/>
    <x v="313"/>
    <x v="352"/>
    <x v="0"/>
    <x v="42"/>
    <x v="0"/>
    <x v="0"/>
    <x v="1501"/>
    <x v="1508"/>
    <x v="10"/>
  </r>
  <r>
    <x v="477"/>
    <x v="5"/>
    <x v="5"/>
    <x v="2"/>
    <x v="5"/>
    <x v="6"/>
    <x v="6"/>
    <x v="0"/>
    <x v="0"/>
    <x v="0"/>
    <x v="0"/>
    <x v="0"/>
    <x v="0"/>
    <x v="1502"/>
    <x v="1507"/>
    <x v="6"/>
  </r>
  <r>
    <x v="478"/>
    <x v="25"/>
    <x v="28"/>
    <x v="14"/>
    <x v="5"/>
    <x v="6"/>
    <x v="578"/>
    <x v="0"/>
    <x v="0"/>
    <x v="0"/>
    <x v="0"/>
    <x v="0"/>
    <x v="0"/>
    <x v="1516"/>
    <x v="1509"/>
    <x v="6"/>
  </r>
  <r>
    <x v="478"/>
    <x v="17"/>
    <x v="19"/>
    <x v="19"/>
    <x v="533"/>
    <x v="8"/>
    <x v="579"/>
    <x v="315"/>
    <x v="355"/>
    <x v="0"/>
    <x v="0"/>
    <x v="0"/>
    <x v="0"/>
    <x v="1517"/>
    <x v="1510"/>
    <x v="6"/>
  </r>
  <r>
    <x v="478"/>
    <x v="37"/>
    <x v="41"/>
    <x v="8"/>
    <x v="534"/>
    <x v="7"/>
    <x v="580"/>
    <x v="195"/>
    <x v="354"/>
    <x v="254"/>
    <x v="42"/>
    <x v="0"/>
    <x v="0"/>
    <x v="1518"/>
    <x v="1511"/>
    <x v="6"/>
  </r>
  <r>
    <x v="478"/>
    <x v="17"/>
    <x v="19"/>
    <x v="20"/>
    <x v="5"/>
    <x v="6"/>
    <x v="6"/>
    <x v="0"/>
    <x v="0"/>
    <x v="0"/>
    <x v="0"/>
    <x v="0"/>
    <x v="0"/>
    <x v="0"/>
    <x v="0"/>
    <x v="6"/>
  </r>
  <r>
    <x v="478"/>
    <x v="5"/>
    <x v="5"/>
    <x v="6"/>
    <x v="5"/>
    <x v="6"/>
    <x v="6"/>
    <x v="0"/>
    <x v="0"/>
    <x v="0"/>
    <x v="0"/>
    <x v="0"/>
    <x v="0"/>
    <x v="1519"/>
    <x v="1512"/>
    <x v="6"/>
  </r>
  <r>
    <x v="478"/>
    <x v="5"/>
    <x v="5"/>
    <x v="5"/>
    <x v="5"/>
    <x v="6"/>
    <x v="6"/>
    <x v="0"/>
    <x v="0"/>
    <x v="0"/>
    <x v="0"/>
    <x v="0"/>
    <x v="0"/>
    <x v="1520"/>
    <x v="1513"/>
    <x v="6"/>
  </r>
  <r>
    <x v="478"/>
    <x v="5"/>
    <x v="5"/>
    <x v="6"/>
    <x v="5"/>
    <x v="6"/>
    <x v="6"/>
    <x v="0"/>
    <x v="0"/>
    <x v="0"/>
    <x v="0"/>
    <x v="0"/>
    <x v="0"/>
    <x v="1521"/>
    <x v="1514"/>
    <x v="6"/>
  </r>
  <r>
    <x v="478"/>
    <x v="5"/>
    <x v="5"/>
    <x v="5"/>
    <x v="5"/>
    <x v="6"/>
    <x v="6"/>
    <x v="0"/>
    <x v="0"/>
    <x v="0"/>
    <x v="0"/>
    <x v="0"/>
    <x v="0"/>
    <x v="1522"/>
    <x v="1515"/>
    <x v="6"/>
  </r>
  <r>
    <x v="479"/>
    <x v="38"/>
    <x v="42"/>
    <x v="19"/>
    <x v="535"/>
    <x v="14"/>
    <x v="581"/>
    <x v="316"/>
    <x v="285"/>
    <x v="255"/>
    <x v="9"/>
    <x v="0"/>
    <x v="0"/>
    <x v="1523"/>
    <x v="1516"/>
    <x v="6"/>
  </r>
  <r>
    <x v="479"/>
    <x v="31"/>
    <x v="35"/>
    <x v="8"/>
    <x v="536"/>
    <x v="8"/>
    <x v="582"/>
    <x v="317"/>
    <x v="356"/>
    <x v="256"/>
    <x v="0"/>
    <x v="0"/>
    <x v="0"/>
    <x v="1524"/>
    <x v="1517"/>
    <x v="62"/>
  </r>
  <r>
    <x v="479"/>
    <x v="38"/>
    <x v="42"/>
    <x v="20"/>
    <x v="5"/>
    <x v="6"/>
    <x v="6"/>
    <x v="0"/>
    <x v="0"/>
    <x v="0"/>
    <x v="0"/>
    <x v="0"/>
    <x v="0"/>
    <x v="0"/>
    <x v="0"/>
    <x v="6"/>
  </r>
  <r>
    <x v="479"/>
    <x v="5"/>
    <x v="5"/>
    <x v="6"/>
    <x v="5"/>
    <x v="6"/>
    <x v="6"/>
    <x v="0"/>
    <x v="0"/>
    <x v="0"/>
    <x v="0"/>
    <x v="0"/>
    <x v="0"/>
    <x v="1525"/>
    <x v="1518"/>
    <x v="6"/>
  </r>
  <r>
    <x v="479"/>
    <x v="5"/>
    <x v="5"/>
    <x v="5"/>
    <x v="5"/>
    <x v="6"/>
    <x v="6"/>
    <x v="0"/>
    <x v="0"/>
    <x v="0"/>
    <x v="0"/>
    <x v="0"/>
    <x v="0"/>
    <x v="1526"/>
    <x v="1519"/>
    <x v="6"/>
  </r>
  <r>
    <x v="480"/>
    <x v="31"/>
    <x v="35"/>
    <x v="14"/>
    <x v="5"/>
    <x v="6"/>
    <x v="583"/>
    <x v="0"/>
    <x v="0"/>
    <x v="0"/>
    <x v="0"/>
    <x v="0"/>
    <x v="0"/>
    <x v="1527"/>
    <x v="1520"/>
    <x v="6"/>
  </r>
  <r>
    <x v="480"/>
    <x v="38"/>
    <x v="42"/>
    <x v="22"/>
    <x v="537"/>
    <x v="14"/>
    <x v="584"/>
    <x v="168"/>
    <x v="318"/>
    <x v="0"/>
    <x v="9"/>
    <x v="0"/>
    <x v="0"/>
    <x v="1528"/>
    <x v="1521"/>
    <x v="100"/>
  </r>
  <r>
    <x v="480"/>
    <x v="25"/>
    <x v="28"/>
    <x v="1"/>
    <x v="538"/>
    <x v="8"/>
    <x v="534"/>
    <x v="293"/>
    <x v="335"/>
    <x v="0"/>
    <x v="0"/>
    <x v="0"/>
    <x v="0"/>
    <x v="1529"/>
    <x v="1522"/>
    <x v="102"/>
  </r>
  <r>
    <x v="480"/>
    <x v="5"/>
    <x v="5"/>
    <x v="2"/>
    <x v="5"/>
    <x v="6"/>
    <x v="6"/>
    <x v="0"/>
    <x v="0"/>
    <x v="0"/>
    <x v="0"/>
    <x v="0"/>
    <x v="0"/>
    <x v="1530"/>
    <x v="1521"/>
    <x v="6"/>
  </r>
  <r>
    <x v="480"/>
    <x v="38"/>
    <x v="42"/>
    <x v="23"/>
    <x v="5"/>
    <x v="6"/>
    <x v="6"/>
    <x v="0"/>
    <x v="0"/>
    <x v="0"/>
    <x v="0"/>
    <x v="0"/>
    <x v="0"/>
    <x v="0"/>
    <x v="0"/>
    <x v="6"/>
  </r>
  <r>
    <x v="480"/>
    <x v="5"/>
    <x v="5"/>
    <x v="21"/>
    <x v="5"/>
    <x v="6"/>
    <x v="6"/>
    <x v="0"/>
    <x v="0"/>
    <x v="0"/>
    <x v="0"/>
    <x v="0"/>
    <x v="0"/>
    <x v="57"/>
    <x v="1523"/>
    <x v="6"/>
  </r>
  <r>
    <x v="481"/>
    <x v="25"/>
    <x v="28"/>
    <x v="8"/>
    <x v="539"/>
    <x v="8"/>
    <x v="585"/>
    <x v="318"/>
    <x v="357"/>
    <x v="257"/>
    <x v="0"/>
    <x v="0"/>
    <x v="0"/>
    <x v="1531"/>
    <x v="1524"/>
    <x v="87"/>
  </r>
  <r>
    <x v="481"/>
    <x v="5"/>
    <x v="5"/>
    <x v="6"/>
    <x v="5"/>
    <x v="6"/>
    <x v="6"/>
    <x v="0"/>
    <x v="0"/>
    <x v="0"/>
    <x v="0"/>
    <x v="0"/>
    <x v="0"/>
    <x v="1532"/>
    <x v="1525"/>
    <x v="6"/>
  </r>
  <r>
    <x v="481"/>
    <x v="5"/>
    <x v="5"/>
    <x v="5"/>
    <x v="5"/>
    <x v="6"/>
    <x v="6"/>
    <x v="0"/>
    <x v="0"/>
    <x v="0"/>
    <x v="0"/>
    <x v="0"/>
    <x v="0"/>
    <x v="1533"/>
    <x v="1526"/>
    <x v="6"/>
  </r>
  <r>
    <x v="481"/>
    <x v="5"/>
    <x v="5"/>
    <x v="6"/>
    <x v="5"/>
    <x v="6"/>
    <x v="6"/>
    <x v="0"/>
    <x v="0"/>
    <x v="0"/>
    <x v="0"/>
    <x v="0"/>
    <x v="0"/>
    <x v="1534"/>
    <x v="1527"/>
    <x v="6"/>
  </r>
  <r>
    <x v="481"/>
    <x v="5"/>
    <x v="5"/>
    <x v="5"/>
    <x v="5"/>
    <x v="6"/>
    <x v="6"/>
    <x v="0"/>
    <x v="0"/>
    <x v="0"/>
    <x v="0"/>
    <x v="0"/>
    <x v="0"/>
    <x v="1535"/>
    <x v="1528"/>
    <x v="6"/>
  </r>
  <r>
    <x v="482"/>
    <x v="25"/>
    <x v="28"/>
    <x v="16"/>
    <x v="5"/>
    <x v="6"/>
    <x v="6"/>
    <x v="0"/>
    <x v="0"/>
    <x v="0"/>
    <x v="0"/>
    <x v="0"/>
    <x v="0"/>
    <x v="1536"/>
    <x v="1529"/>
    <x v="6"/>
  </r>
  <r>
    <x v="482"/>
    <x v="6"/>
    <x v="6"/>
    <x v="1"/>
    <x v="521"/>
    <x v="7"/>
    <x v="565"/>
    <x v="308"/>
    <x v="349"/>
    <x v="0"/>
    <x v="34"/>
    <x v="0"/>
    <x v="0"/>
    <x v="1537"/>
    <x v="1530"/>
    <x v="10"/>
  </r>
  <r>
    <x v="482"/>
    <x v="5"/>
    <x v="5"/>
    <x v="2"/>
    <x v="5"/>
    <x v="6"/>
    <x v="6"/>
    <x v="0"/>
    <x v="0"/>
    <x v="0"/>
    <x v="0"/>
    <x v="0"/>
    <x v="0"/>
    <x v="1538"/>
    <x v="1529"/>
    <x v="6"/>
  </r>
  <r>
    <x v="483"/>
    <x v="6"/>
    <x v="6"/>
    <x v="8"/>
    <x v="540"/>
    <x v="7"/>
    <x v="518"/>
    <x v="66"/>
    <x v="23"/>
    <x v="258"/>
    <x v="42"/>
    <x v="0"/>
    <x v="0"/>
    <x v="1539"/>
    <x v="1531"/>
    <x v="6"/>
  </r>
  <r>
    <x v="483"/>
    <x v="5"/>
    <x v="5"/>
    <x v="6"/>
    <x v="5"/>
    <x v="6"/>
    <x v="6"/>
    <x v="0"/>
    <x v="0"/>
    <x v="0"/>
    <x v="0"/>
    <x v="0"/>
    <x v="0"/>
    <x v="1540"/>
    <x v="1532"/>
    <x v="6"/>
  </r>
  <r>
    <x v="483"/>
    <x v="5"/>
    <x v="5"/>
    <x v="5"/>
    <x v="5"/>
    <x v="6"/>
    <x v="6"/>
    <x v="0"/>
    <x v="0"/>
    <x v="0"/>
    <x v="0"/>
    <x v="0"/>
    <x v="0"/>
    <x v="1541"/>
    <x v="1533"/>
    <x v="6"/>
  </r>
  <r>
    <x v="483"/>
    <x v="5"/>
    <x v="5"/>
    <x v="6"/>
    <x v="5"/>
    <x v="6"/>
    <x v="6"/>
    <x v="0"/>
    <x v="0"/>
    <x v="0"/>
    <x v="0"/>
    <x v="0"/>
    <x v="0"/>
    <x v="1542"/>
    <x v="1534"/>
    <x v="6"/>
  </r>
  <r>
    <x v="483"/>
    <x v="5"/>
    <x v="5"/>
    <x v="5"/>
    <x v="5"/>
    <x v="6"/>
    <x v="6"/>
    <x v="0"/>
    <x v="0"/>
    <x v="0"/>
    <x v="0"/>
    <x v="0"/>
    <x v="0"/>
    <x v="1543"/>
    <x v="1535"/>
    <x v="6"/>
  </r>
  <r>
    <x v="484"/>
    <x v="6"/>
    <x v="6"/>
    <x v="1"/>
    <x v="541"/>
    <x v="7"/>
    <x v="586"/>
    <x v="265"/>
    <x v="74"/>
    <x v="0"/>
    <x v="34"/>
    <x v="0"/>
    <x v="0"/>
    <x v="1544"/>
    <x v="1536"/>
    <x v="10"/>
  </r>
  <r>
    <x v="484"/>
    <x v="5"/>
    <x v="5"/>
    <x v="2"/>
    <x v="5"/>
    <x v="6"/>
    <x v="6"/>
    <x v="0"/>
    <x v="0"/>
    <x v="0"/>
    <x v="0"/>
    <x v="0"/>
    <x v="0"/>
    <x v="1545"/>
    <x v="1535"/>
    <x v="6"/>
  </r>
  <r>
    <x v="485"/>
    <x v="31"/>
    <x v="35"/>
    <x v="1"/>
    <x v="525"/>
    <x v="8"/>
    <x v="587"/>
    <x v="319"/>
    <x v="273"/>
    <x v="0"/>
    <x v="0"/>
    <x v="0"/>
    <x v="0"/>
    <x v="1546"/>
    <x v="1537"/>
    <x v="95"/>
  </r>
  <r>
    <x v="485"/>
    <x v="25"/>
    <x v="28"/>
    <x v="1"/>
    <x v="542"/>
    <x v="8"/>
    <x v="588"/>
    <x v="320"/>
    <x v="336"/>
    <x v="0"/>
    <x v="0"/>
    <x v="0"/>
    <x v="0"/>
    <x v="1547"/>
    <x v="1538"/>
    <x v="102"/>
  </r>
  <r>
    <x v="485"/>
    <x v="5"/>
    <x v="5"/>
    <x v="2"/>
    <x v="5"/>
    <x v="6"/>
    <x v="6"/>
    <x v="0"/>
    <x v="0"/>
    <x v="0"/>
    <x v="0"/>
    <x v="0"/>
    <x v="0"/>
    <x v="1548"/>
    <x v="1539"/>
    <x v="6"/>
  </r>
  <r>
    <x v="485"/>
    <x v="5"/>
    <x v="5"/>
    <x v="2"/>
    <x v="5"/>
    <x v="6"/>
    <x v="6"/>
    <x v="0"/>
    <x v="0"/>
    <x v="0"/>
    <x v="0"/>
    <x v="0"/>
    <x v="0"/>
    <x v="1549"/>
    <x v="1535"/>
    <x v="6"/>
  </r>
  <r>
    <x v="486"/>
    <x v="25"/>
    <x v="28"/>
    <x v="8"/>
    <x v="26"/>
    <x v="8"/>
    <x v="28"/>
    <x v="20"/>
    <x v="358"/>
    <x v="10"/>
    <x v="0"/>
    <x v="0"/>
    <x v="0"/>
    <x v="1550"/>
    <x v="1540"/>
    <x v="87"/>
  </r>
  <r>
    <x v="486"/>
    <x v="6"/>
    <x v="6"/>
    <x v="8"/>
    <x v="543"/>
    <x v="7"/>
    <x v="589"/>
    <x v="276"/>
    <x v="359"/>
    <x v="259"/>
    <x v="34"/>
    <x v="0"/>
    <x v="0"/>
    <x v="1551"/>
    <x v="1541"/>
    <x v="6"/>
  </r>
  <r>
    <x v="486"/>
    <x v="31"/>
    <x v="35"/>
    <x v="8"/>
    <x v="512"/>
    <x v="8"/>
    <x v="317"/>
    <x v="106"/>
    <x v="27"/>
    <x v="135"/>
    <x v="0"/>
    <x v="0"/>
    <x v="0"/>
    <x v="1552"/>
    <x v="1542"/>
    <x v="62"/>
  </r>
  <r>
    <x v="486"/>
    <x v="5"/>
    <x v="5"/>
    <x v="6"/>
    <x v="5"/>
    <x v="6"/>
    <x v="6"/>
    <x v="0"/>
    <x v="0"/>
    <x v="0"/>
    <x v="0"/>
    <x v="0"/>
    <x v="0"/>
    <x v="1519"/>
    <x v="1543"/>
    <x v="6"/>
  </r>
  <r>
    <x v="486"/>
    <x v="5"/>
    <x v="5"/>
    <x v="5"/>
    <x v="5"/>
    <x v="6"/>
    <x v="6"/>
    <x v="0"/>
    <x v="0"/>
    <x v="0"/>
    <x v="0"/>
    <x v="0"/>
    <x v="0"/>
    <x v="1553"/>
    <x v="1544"/>
    <x v="6"/>
  </r>
  <r>
    <x v="486"/>
    <x v="5"/>
    <x v="5"/>
    <x v="6"/>
    <x v="5"/>
    <x v="6"/>
    <x v="6"/>
    <x v="0"/>
    <x v="0"/>
    <x v="0"/>
    <x v="0"/>
    <x v="0"/>
    <x v="0"/>
    <x v="1554"/>
    <x v="1545"/>
    <x v="6"/>
  </r>
  <r>
    <x v="486"/>
    <x v="5"/>
    <x v="5"/>
    <x v="5"/>
    <x v="5"/>
    <x v="6"/>
    <x v="6"/>
    <x v="0"/>
    <x v="0"/>
    <x v="0"/>
    <x v="0"/>
    <x v="0"/>
    <x v="0"/>
    <x v="1481"/>
    <x v="1546"/>
    <x v="6"/>
  </r>
  <r>
    <x v="486"/>
    <x v="5"/>
    <x v="5"/>
    <x v="6"/>
    <x v="5"/>
    <x v="6"/>
    <x v="6"/>
    <x v="0"/>
    <x v="0"/>
    <x v="0"/>
    <x v="0"/>
    <x v="0"/>
    <x v="0"/>
    <x v="1555"/>
    <x v="1547"/>
    <x v="6"/>
  </r>
  <r>
    <x v="486"/>
    <x v="5"/>
    <x v="5"/>
    <x v="5"/>
    <x v="5"/>
    <x v="6"/>
    <x v="6"/>
    <x v="0"/>
    <x v="0"/>
    <x v="0"/>
    <x v="0"/>
    <x v="0"/>
    <x v="0"/>
    <x v="1556"/>
    <x v="1548"/>
    <x v="6"/>
  </r>
  <r>
    <x v="486"/>
    <x v="5"/>
    <x v="5"/>
    <x v="5"/>
    <x v="5"/>
    <x v="6"/>
    <x v="6"/>
    <x v="0"/>
    <x v="0"/>
    <x v="0"/>
    <x v="0"/>
    <x v="0"/>
    <x v="0"/>
    <x v="1557"/>
    <x v="1549"/>
    <x v="6"/>
  </r>
  <r>
    <x v="486"/>
    <x v="5"/>
    <x v="5"/>
    <x v="6"/>
    <x v="5"/>
    <x v="6"/>
    <x v="6"/>
    <x v="0"/>
    <x v="0"/>
    <x v="0"/>
    <x v="0"/>
    <x v="0"/>
    <x v="0"/>
    <x v="1558"/>
    <x v="1550"/>
    <x v="6"/>
  </r>
  <r>
    <x v="486"/>
    <x v="5"/>
    <x v="5"/>
    <x v="5"/>
    <x v="5"/>
    <x v="6"/>
    <x v="6"/>
    <x v="0"/>
    <x v="0"/>
    <x v="0"/>
    <x v="0"/>
    <x v="0"/>
    <x v="0"/>
    <x v="1559"/>
    <x v="1551"/>
    <x v="6"/>
  </r>
  <r>
    <x v="486"/>
    <x v="5"/>
    <x v="5"/>
    <x v="5"/>
    <x v="5"/>
    <x v="6"/>
    <x v="6"/>
    <x v="0"/>
    <x v="0"/>
    <x v="0"/>
    <x v="0"/>
    <x v="0"/>
    <x v="0"/>
    <x v="1560"/>
    <x v="1552"/>
    <x v="6"/>
  </r>
  <r>
    <x v="486"/>
    <x v="5"/>
    <x v="5"/>
    <x v="21"/>
    <x v="5"/>
    <x v="6"/>
    <x v="6"/>
    <x v="0"/>
    <x v="0"/>
    <x v="0"/>
    <x v="0"/>
    <x v="0"/>
    <x v="0"/>
    <x v="1561"/>
    <x v="1553"/>
    <x v="6"/>
  </r>
  <r>
    <x v="486"/>
    <x v="5"/>
    <x v="5"/>
    <x v="6"/>
    <x v="5"/>
    <x v="6"/>
    <x v="6"/>
    <x v="0"/>
    <x v="0"/>
    <x v="0"/>
    <x v="0"/>
    <x v="0"/>
    <x v="0"/>
    <x v="1562"/>
    <x v="1554"/>
    <x v="6"/>
  </r>
  <r>
    <x v="486"/>
    <x v="5"/>
    <x v="5"/>
    <x v="5"/>
    <x v="5"/>
    <x v="6"/>
    <x v="6"/>
    <x v="0"/>
    <x v="0"/>
    <x v="0"/>
    <x v="0"/>
    <x v="0"/>
    <x v="0"/>
    <x v="1563"/>
    <x v="1555"/>
    <x v="6"/>
  </r>
  <r>
    <x v="486"/>
    <x v="5"/>
    <x v="5"/>
    <x v="21"/>
    <x v="5"/>
    <x v="6"/>
    <x v="6"/>
    <x v="0"/>
    <x v="0"/>
    <x v="0"/>
    <x v="0"/>
    <x v="0"/>
    <x v="0"/>
    <x v="1564"/>
    <x v="1556"/>
    <x v="6"/>
  </r>
  <r>
    <x v="486"/>
    <x v="5"/>
    <x v="5"/>
    <x v="6"/>
    <x v="5"/>
    <x v="6"/>
    <x v="6"/>
    <x v="0"/>
    <x v="0"/>
    <x v="0"/>
    <x v="0"/>
    <x v="0"/>
    <x v="0"/>
    <x v="1565"/>
    <x v="1557"/>
    <x v="6"/>
  </r>
  <r>
    <x v="486"/>
    <x v="5"/>
    <x v="5"/>
    <x v="21"/>
    <x v="5"/>
    <x v="6"/>
    <x v="6"/>
    <x v="0"/>
    <x v="0"/>
    <x v="0"/>
    <x v="0"/>
    <x v="0"/>
    <x v="0"/>
    <x v="1566"/>
    <x v="1558"/>
    <x v="6"/>
  </r>
  <r>
    <x v="486"/>
    <x v="5"/>
    <x v="5"/>
    <x v="6"/>
    <x v="5"/>
    <x v="6"/>
    <x v="6"/>
    <x v="0"/>
    <x v="0"/>
    <x v="0"/>
    <x v="0"/>
    <x v="0"/>
    <x v="0"/>
    <x v="1567"/>
    <x v="1559"/>
    <x v="6"/>
  </r>
  <r>
    <x v="486"/>
    <x v="5"/>
    <x v="5"/>
    <x v="6"/>
    <x v="5"/>
    <x v="6"/>
    <x v="6"/>
    <x v="0"/>
    <x v="0"/>
    <x v="0"/>
    <x v="0"/>
    <x v="0"/>
    <x v="0"/>
    <x v="1568"/>
    <x v="1560"/>
    <x v="6"/>
  </r>
  <r>
    <x v="486"/>
    <x v="5"/>
    <x v="5"/>
    <x v="6"/>
    <x v="5"/>
    <x v="6"/>
    <x v="6"/>
    <x v="0"/>
    <x v="0"/>
    <x v="0"/>
    <x v="0"/>
    <x v="0"/>
    <x v="0"/>
    <x v="1569"/>
    <x v="1561"/>
    <x v="6"/>
  </r>
  <r>
    <x v="486"/>
    <x v="5"/>
    <x v="5"/>
    <x v="6"/>
    <x v="5"/>
    <x v="6"/>
    <x v="6"/>
    <x v="0"/>
    <x v="0"/>
    <x v="0"/>
    <x v="0"/>
    <x v="0"/>
    <x v="0"/>
    <x v="1570"/>
    <x v="1562"/>
    <x v="6"/>
  </r>
  <r>
    <x v="486"/>
    <x v="5"/>
    <x v="5"/>
    <x v="6"/>
    <x v="5"/>
    <x v="6"/>
    <x v="6"/>
    <x v="0"/>
    <x v="0"/>
    <x v="0"/>
    <x v="0"/>
    <x v="0"/>
    <x v="0"/>
    <x v="1571"/>
    <x v="1563"/>
    <x v="6"/>
  </r>
  <r>
    <x v="487"/>
    <x v="31"/>
    <x v="35"/>
    <x v="16"/>
    <x v="5"/>
    <x v="6"/>
    <x v="6"/>
    <x v="0"/>
    <x v="0"/>
    <x v="0"/>
    <x v="0"/>
    <x v="0"/>
    <x v="0"/>
    <x v="1572"/>
    <x v="1564"/>
    <x v="6"/>
  </r>
  <r>
    <x v="487"/>
    <x v="25"/>
    <x v="28"/>
    <x v="16"/>
    <x v="5"/>
    <x v="6"/>
    <x v="6"/>
    <x v="0"/>
    <x v="0"/>
    <x v="0"/>
    <x v="0"/>
    <x v="0"/>
    <x v="0"/>
    <x v="1536"/>
    <x v="1565"/>
    <x v="6"/>
  </r>
  <r>
    <x v="488"/>
    <x v="31"/>
    <x v="35"/>
    <x v="1"/>
    <x v="303"/>
    <x v="8"/>
    <x v="217"/>
    <x v="302"/>
    <x v="350"/>
    <x v="0"/>
    <x v="0"/>
    <x v="0"/>
    <x v="0"/>
    <x v="1573"/>
    <x v="1566"/>
    <x v="95"/>
  </r>
  <r>
    <x v="488"/>
    <x v="25"/>
    <x v="28"/>
    <x v="1"/>
    <x v="281"/>
    <x v="8"/>
    <x v="590"/>
    <x v="321"/>
    <x v="360"/>
    <x v="0"/>
    <x v="0"/>
    <x v="0"/>
    <x v="0"/>
    <x v="1574"/>
    <x v="1567"/>
    <x v="102"/>
  </r>
  <r>
    <x v="488"/>
    <x v="5"/>
    <x v="5"/>
    <x v="2"/>
    <x v="5"/>
    <x v="6"/>
    <x v="6"/>
    <x v="0"/>
    <x v="0"/>
    <x v="0"/>
    <x v="0"/>
    <x v="0"/>
    <x v="0"/>
    <x v="1575"/>
    <x v="1568"/>
    <x v="6"/>
  </r>
  <r>
    <x v="488"/>
    <x v="5"/>
    <x v="5"/>
    <x v="2"/>
    <x v="5"/>
    <x v="6"/>
    <x v="6"/>
    <x v="0"/>
    <x v="0"/>
    <x v="0"/>
    <x v="0"/>
    <x v="0"/>
    <x v="0"/>
    <x v="1576"/>
    <x v="1565"/>
    <x v="6"/>
  </r>
  <r>
    <x v="489"/>
    <x v="25"/>
    <x v="28"/>
    <x v="8"/>
    <x v="544"/>
    <x v="8"/>
    <x v="591"/>
    <x v="322"/>
    <x v="361"/>
    <x v="260"/>
    <x v="0"/>
    <x v="0"/>
    <x v="0"/>
    <x v="1577"/>
    <x v="1569"/>
    <x v="87"/>
  </r>
  <r>
    <x v="489"/>
    <x v="5"/>
    <x v="5"/>
    <x v="21"/>
    <x v="5"/>
    <x v="6"/>
    <x v="6"/>
    <x v="0"/>
    <x v="0"/>
    <x v="0"/>
    <x v="0"/>
    <x v="0"/>
    <x v="0"/>
    <x v="1578"/>
    <x v="1570"/>
    <x v="6"/>
  </r>
  <r>
    <x v="489"/>
    <x v="5"/>
    <x v="5"/>
    <x v="6"/>
    <x v="5"/>
    <x v="6"/>
    <x v="6"/>
    <x v="0"/>
    <x v="0"/>
    <x v="0"/>
    <x v="0"/>
    <x v="0"/>
    <x v="0"/>
    <x v="1579"/>
    <x v="1571"/>
    <x v="6"/>
  </r>
  <r>
    <x v="489"/>
    <x v="5"/>
    <x v="5"/>
    <x v="5"/>
    <x v="5"/>
    <x v="6"/>
    <x v="6"/>
    <x v="0"/>
    <x v="0"/>
    <x v="0"/>
    <x v="0"/>
    <x v="0"/>
    <x v="0"/>
    <x v="1580"/>
    <x v="1572"/>
    <x v="6"/>
  </r>
  <r>
    <x v="489"/>
    <x v="5"/>
    <x v="5"/>
    <x v="21"/>
    <x v="5"/>
    <x v="6"/>
    <x v="6"/>
    <x v="0"/>
    <x v="0"/>
    <x v="0"/>
    <x v="0"/>
    <x v="0"/>
    <x v="0"/>
    <x v="1578"/>
    <x v="1573"/>
    <x v="6"/>
  </r>
  <r>
    <x v="489"/>
    <x v="5"/>
    <x v="5"/>
    <x v="6"/>
    <x v="5"/>
    <x v="6"/>
    <x v="6"/>
    <x v="0"/>
    <x v="0"/>
    <x v="0"/>
    <x v="0"/>
    <x v="0"/>
    <x v="0"/>
    <x v="1581"/>
    <x v="1574"/>
    <x v="6"/>
  </r>
  <r>
    <x v="489"/>
    <x v="5"/>
    <x v="5"/>
    <x v="5"/>
    <x v="5"/>
    <x v="6"/>
    <x v="6"/>
    <x v="0"/>
    <x v="0"/>
    <x v="0"/>
    <x v="0"/>
    <x v="0"/>
    <x v="0"/>
    <x v="1582"/>
    <x v="1575"/>
    <x v="6"/>
  </r>
  <r>
    <x v="490"/>
    <x v="25"/>
    <x v="28"/>
    <x v="16"/>
    <x v="5"/>
    <x v="6"/>
    <x v="6"/>
    <x v="0"/>
    <x v="0"/>
    <x v="0"/>
    <x v="0"/>
    <x v="0"/>
    <x v="0"/>
    <x v="1536"/>
    <x v="1576"/>
    <x v="6"/>
  </r>
  <r>
    <x v="491"/>
    <x v="31"/>
    <x v="35"/>
    <x v="1"/>
    <x v="545"/>
    <x v="8"/>
    <x v="592"/>
    <x v="323"/>
    <x v="362"/>
    <x v="0"/>
    <x v="0"/>
    <x v="0"/>
    <x v="0"/>
    <x v="1583"/>
    <x v="1577"/>
    <x v="98"/>
  </r>
  <r>
    <x v="491"/>
    <x v="5"/>
    <x v="5"/>
    <x v="2"/>
    <x v="5"/>
    <x v="6"/>
    <x v="6"/>
    <x v="0"/>
    <x v="0"/>
    <x v="0"/>
    <x v="0"/>
    <x v="0"/>
    <x v="0"/>
    <x v="1584"/>
    <x v="1576"/>
    <x v="6"/>
  </r>
  <r>
    <x v="491"/>
    <x v="5"/>
    <x v="5"/>
    <x v="21"/>
    <x v="5"/>
    <x v="6"/>
    <x v="6"/>
    <x v="0"/>
    <x v="0"/>
    <x v="0"/>
    <x v="0"/>
    <x v="0"/>
    <x v="0"/>
    <x v="1585"/>
    <x v="1578"/>
    <x v="6"/>
  </r>
  <r>
    <x v="491"/>
    <x v="5"/>
    <x v="5"/>
    <x v="21"/>
    <x v="5"/>
    <x v="6"/>
    <x v="6"/>
    <x v="0"/>
    <x v="0"/>
    <x v="0"/>
    <x v="0"/>
    <x v="0"/>
    <x v="0"/>
    <x v="1585"/>
    <x v="1579"/>
    <x v="6"/>
  </r>
  <r>
    <x v="491"/>
    <x v="5"/>
    <x v="5"/>
    <x v="6"/>
    <x v="5"/>
    <x v="6"/>
    <x v="6"/>
    <x v="0"/>
    <x v="0"/>
    <x v="0"/>
    <x v="0"/>
    <x v="0"/>
    <x v="0"/>
    <x v="1586"/>
    <x v="1580"/>
    <x v="6"/>
  </r>
  <r>
    <x v="491"/>
    <x v="5"/>
    <x v="5"/>
    <x v="6"/>
    <x v="5"/>
    <x v="6"/>
    <x v="6"/>
    <x v="0"/>
    <x v="0"/>
    <x v="0"/>
    <x v="0"/>
    <x v="0"/>
    <x v="0"/>
    <x v="1587"/>
    <x v="1581"/>
    <x v="6"/>
  </r>
  <r>
    <x v="491"/>
    <x v="5"/>
    <x v="5"/>
    <x v="6"/>
    <x v="5"/>
    <x v="6"/>
    <x v="6"/>
    <x v="0"/>
    <x v="0"/>
    <x v="0"/>
    <x v="0"/>
    <x v="0"/>
    <x v="0"/>
    <x v="1588"/>
    <x v="1582"/>
    <x v="6"/>
  </r>
  <r>
    <x v="491"/>
    <x v="5"/>
    <x v="5"/>
    <x v="6"/>
    <x v="5"/>
    <x v="6"/>
    <x v="6"/>
    <x v="0"/>
    <x v="0"/>
    <x v="0"/>
    <x v="0"/>
    <x v="0"/>
    <x v="0"/>
    <x v="1589"/>
    <x v="1583"/>
    <x v="6"/>
  </r>
  <r>
    <x v="491"/>
    <x v="5"/>
    <x v="5"/>
    <x v="6"/>
    <x v="5"/>
    <x v="6"/>
    <x v="6"/>
    <x v="0"/>
    <x v="0"/>
    <x v="0"/>
    <x v="0"/>
    <x v="0"/>
    <x v="0"/>
    <x v="1590"/>
    <x v="1584"/>
    <x v="6"/>
  </r>
  <r>
    <x v="491"/>
    <x v="5"/>
    <x v="5"/>
    <x v="6"/>
    <x v="5"/>
    <x v="6"/>
    <x v="6"/>
    <x v="0"/>
    <x v="0"/>
    <x v="0"/>
    <x v="0"/>
    <x v="0"/>
    <x v="0"/>
    <x v="1591"/>
    <x v="1585"/>
    <x v="6"/>
  </r>
  <r>
    <x v="491"/>
    <x v="5"/>
    <x v="5"/>
    <x v="6"/>
    <x v="5"/>
    <x v="6"/>
    <x v="6"/>
    <x v="0"/>
    <x v="0"/>
    <x v="0"/>
    <x v="0"/>
    <x v="0"/>
    <x v="0"/>
    <x v="1592"/>
    <x v="1586"/>
    <x v="6"/>
  </r>
  <r>
    <x v="491"/>
    <x v="5"/>
    <x v="5"/>
    <x v="6"/>
    <x v="5"/>
    <x v="6"/>
    <x v="6"/>
    <x v="0"/>
    <x v="0"/>
    <x v="0"/>
    <x v="0"/>
    <x v="0"/>
    <x v="0"/>
    <x v="1593"/>
    <x v="1587"/>
    <x v="6"/>
  </r>
  <r>
    <x v="492"/>
    <x v="26"/>
    <x v="29"/>
    <x v="14"/>
    <x v="5"/>
    <x v="6"/>
    <x v="593"/>
    <x v="0"/>
    <x v="0"/>
    <x v="0"/>
    <x v="0"/>
    <x v="0"/>
    <x v="0"/>
    <x v="1594"/>
    <x v="1588"/>
    <x v="6"/>
  </r>
  <r>
    <x v="493"/>
    <x v="31"/>
    <x v="35"/>
    <x v="8"/>
    <x v="546"/>
    <x v="8"/>
    <x v="594"/>
    <x v="324"/>
    <x v="250"/>
    <x v="261"/>
    <x v="0"/>
    <x v="0"/>
    <x v="0"/>
    <x v="1595"/>
    <x v="1589"/>
    <x v="95"/>
  </r>
  <r>
    <x v="493"/>
    <x v="5"/>
    <x v="5"/>
    <x v="21"/>
    <x v="5"/>
    <x v="6"/>
    <x v="6"/>
    <x v="0"/>
    <x v="0"/>
    <x v="0"/>
    <x v="0"/>
    <x v="0"/>
    <x v="0"/>
    <x v="1596"/>
    <x v="1590"/>
    <x v="6"/>
  </r>
  <r>
    <x v="493"/>
    <x v="5"/>
    <x v="5"/>
    <x v="21"/>
    <x v="5"/>
    <x v="6"/>
    <x v="6"/>
    <x v="0"/>
    <x v="0"/>
    <x v="0"/>
    <x v="0"/>
    <x v="0"/>
    <x v="0"/>
    <x v="1596"/>
    <x v="1591"/>
    <x v="6"/>
  </r>
  <r>
    <x v="493"/>
    <x v="5"/>
    <x v="5"/>
    <x v="6"/>
    <x v="5"/>
    <x v="6"/>
    <x v="6"/>
    <x v="0"/>
    <x v="0"/>
    <x v="0"/>
    <x v="0"/>
    <x v="0"/>
    <x v="0"/>
    <x v="1597"/>
    <x v="1592"/>
    <x v="6"/>
  </r>
  <r>
    <x v="493"/>
    <x v="5"/>
    <x v="5"/>
    <x v="5"/>
    <x v="5"/>
    <x v="6"/>
    <x v="6"/>
    <x v="0"/>
    <x v="0"/>
    <x v="0"/>
    <x v="0"/>
    <x v="0"/>
    <x v="0"/>
    <x v="1598"/>
    <x v="1593"/>
    <x v="6"/>
  </r>
  <r>
    <x v="493"/>
    <x v="5"/>
    <x v="5"/>
    <x v="6"/>
    <x v="5"/>
    <x v="6"/>
    <x v="6"/>
    <x v="0"/>
    <x v="0"/>
    <x v="0"/>
    <x v="0"/>
    <x v="0"/>
    <x v="0"/>
    <x v="1599"/>
    <x v="1594"/>
    <x v="6"/>
  </r>
  <r>
    <x v="493"/>
    <x v="5"/>
    <x v="5"/>
    <x v="5"/>
    <x v="5"/>
    <x v="6"/>
    <x v="6"/>
    <x v="0"/>
    <x v="0"/>
    <x v="0"/>
    <x v="0"/>
    <x v="0"/>
    <x v="0"/>
    <x v="1600"/>
    <x v="1595"/>
    <x v="6"/>
  </r>
  <r>
    <x v="494"/>
    <x v="31"/>
    <x v="35"/>
    <x v="16"/>
    <x v="5"/>
    <x v="6"/>
    <x v="6"/>
    <x v="0"/>
    <x v="0"/>
    <x v="0"/>
    <x v="0"/>
    <x v="0"/>
    <x v="0"/>
    <x v="1572"/>
    <x v="1596"/>
    <x v="6"/>
  </r>
  <r>
    <x v="495"/>
    <x v="5"/>
    <x v="5"/>
    <x v="21"/>
    <x v="5"/>
    <x v="6"/>
    <x v="6"/>
    <x v="0"/>
    <x v="0"/>
    <x v="0"/>
    <x v="0"/>
    <x v="0"/>
    <x v="0"/>
    <x v="1601"/>
    <x v="1597"/>
    <x v="6"/>
  </r>
  <r>
    <x v="495"/>
    <x v="5"/>
    <x v="5"/>
    <x v="21"/>
    <x v="5"/>
    <x v="6"/>
    <x v="6"/>
    <x v="0"/>
    <x v="0"/>
    <x v="0"/>
    <x v="0"/>
    <x v="0"/>
    <x v="0"/>
    <x v="1601"/>
    <x v="1598"/>
    <x v="6"/>
  </r>
  <r>
    <x v="495"/>
    <x v="5"/>
    <x v="5"/>
    <x v="6"/>
    <x v="5"/>
    <x v="6"/>
    <x v="6"/>
    <x v="0"/>
    <x v="0"/>
    <x v="0"/>
    <x v="0"/>
    <x v="0"/>
    <x v="0"/>
    <x v="1602"/>
    <x v="1599"/>
    <x v="6"/>
  </r>
  <r>
    <x v="495"/>
    <x v="5"/>
    <x v="5"/>
    <x v="5"/>
    <x v="5"/>
    <x v="6"/>
    <x v="6"/>
    <x v="0"/>
    <x v="0"/>
    <x v="0"/>
    <x v="0"/>
    <x v="0"/>
    <x v="0"/>
    <x v="1603"/>
    <x v="1600"/>
    <x v="6"/>
  </r>
  <r>
    <x v="496"/>
    <x v="31"/>
    <x v="35"/>
    <x v="1"/>
    <x v="547"/>
    <x v="8"/>
    <x v="595"/>
    <x v="101"/>
    <x v="290"/>
    <x v="0"/>
    <x v="0"/>
    <x v="0"/>
    <x v="0"/>
    <x v="1604"/>
    <x v="1601"/>
    <x v="98"/>
  </r>
  <r>
    <x v="496"/>
    <x v="5"/>
    <x v="5"/>
    <x v="2"/>
    <x v="5"/>
    <x v="6"/>
    <x v="6"/>
    <x v="0"/>
    <x v="0"/>
    <x v="0"/>
    <x v="0"/>
    <x v="0"/>
    <x v="0"/>
    <x v="1605"/>
    <x v="1600"/>
    <x v="6"/>
  </r>
  <r>
    <x v="497"/>
    <x v="25"/>
    <x v="28"/>
    <x v="1"/>
    <x v="548"/>
    <x v="8"/>
    <x v="596"/>
    <x v="325"/>
    <x v="363"/>
    <x v="0"/>
    <x v="0"/>
    <x v="0"/>
    <x v="0"/>
    <x v="1606"/>
    <x v="1602"/>
    <x v="102"/>
  </r>
  <r>
    <x v="497"/>
    <x v="5"/>
    <x v="5"/>
    <x v="2"/>
    <x v="5"/>
    <x v="6"/>
    <x v="6"/>
    <x v="0"/>
    <x v="0"/>
    <x v="0"/>
    <x v="0"/>
    <x v="0"/>
    <x v="0"/>
    <x v="1607"/>
    <x v="1600"/>
    <x v="6"/>
  </r>
  <r>
    <x v="498"/>
    <x v="31"/>
    <x v="35"/>
    <x v="8"/>
    <x v="549"/>
    <x v="8"/>
    <x v="597"/>
    <x v="22"/>
    <x v="364"/>
    <x v="262"/>
    <x v="0"/>
    <x v="0"/>
    <x v="0"/>
    <x v="1608"/>
    <x v="1603"/>
    <x v="95"/>
  </r>
  <r>
    <x v="498"/>
    <x v="25"/>
    <x v="28"/>
    <x v="8"/>
    <x v="550"/>
    <x v="8"/>
    <x v="531"/>
    <x v="291"/>
    <x v="332"/>
    <x v="263"/>
    <x v="0"/>
    <x v="0"/>
    <x v="0"/>
    <x v="1609"/>
    <x v="1604"/>
    <x v="87"/>
  </r>
  <r>
    <x v="498"/>
    <x v="31"/>
    <x v="35"/>
    <x v="8"/>
    <x v="546"/>
    <x v="8"/>
    <x v="594"/>
    <x v="324"/>
    <x v="365"/>
    <x v="261"/>
    <x v="0"/>
    <x v="0"/>
    <x v="0"/>
    <x v="1595"/>
    <x v="1605"/>
    <x v="62"/>
  </r>
  <r>
    <x v="498"/>
    <x v="5"/>
    <x v="5"/>
    <x v="21"/>
    <x v="5"/>
    <x v="6"/>
    <x v="6"/>
    <x v="0"/>
    <x v="0"/>
    <x v="0"/>
    <x v="0"/>
    <x v="0"/>
    <x v="0"/>
    <x v="1311"/>
    <x v="1606"/>
    <x v="6"/>
  </r>
  <r>
    <x v="498"/>
    <x v="5"/>
    <x v="5"/>
    <x v="21"/>
    <x v="5"/>
    <x v="6"/>
    <x v="6"/>
    <x v="0"/>
    <x v="0"/>
    <x v="0"/>
    <x v="0"/>
    <x v="0"/>
    <x v="0"/>
    <x v="1311"/>
    <x v="1607"/>
    <x v="6"/>
  </r>
  <r>
    <x v="498"/>
    <x v="5"/>
    <x v="5"/>
    <x v="6"/>
    <x v="5"/>
    <x v="6"/>
    <x v="6"/>
    <x v="0"/>
    <x v="0"/>
    <x v="0"/>
    <x v="0"/>
    <x v="0"/>
    <x v="0"/>
    <x v="1610"/>
    <x v="1608"/>
    <x v="6"/>
  </r>
  <r>
    <x v="498"/>
    <x v="5"/>
    <x v="5"/>
    <x v="5"/>
    <x v="5"/>
    <x v="6"/>
    <x v="6"/>
    <x v="0"/>
    <x v="0"/>
    <x v="0"/>
    <x v="0"/>
    <x v="0"/>
    <x v="0"/>
    <x v="1611"/>
    <x v="1609"/>
    <x v="6"/>
  </r>
  <r>
    <x v="498"/>
    <x v="5"/>
    <x v="5"/>
    <x v="6"/>
    <x v="5"/>
    <x v="6"/>
    <x v="6"/>
    <x v="0"/>
    <x v="0"/>
    <x v="0"/>
    <x v="0"/>
    <x v="0"/>
    <x v="0"/>
    <x v="1612"/>
    <x v="1610"/>
    <x v="6"/>
  </r>
  <r>
    <x v="498"/>
    <x v="5"/>
    <x v="5"/>
    <x v="5"/>
    <x v="5"/>
    <x v="6"/>
    <x v="6"/>
    <x v="0"/>
    <x v="0"/>
    <x v="0"/>
    <x v="0"/>
    <x v="0"/>
    <x v="0"/>
    <x v="1613"/>
    <x v="1611"/>
    <x v="6"/>
  </r>
  <r>
    <x v="498"/>
    <x v="5"/>
    <x v="5"/>
    <x v="5"/>
    <x v="5"/>
    <x v="6"/>
    <x v="6"/>
    <x v="0"/>
    <x v="0"/>
    <x v="0"/>
    <x v="0"/>
    <x v="0"/>
    <x v="0"/>
    <x v="1614"/>
    <x v="1612"/>
    <x v="6"/>
  </r>
  <r>
    <x v="498"/>
    <x v="5"/>
    <x v="5"/>
    <x v="6"/>
    <x v="5"/>
    <x v="6"/>
    <x v="6"/>
    <x v="0"/>
    <x v="0"/>
    <x v="0"/>
    <x v="0"/>
    <x v="0"/>
    <x v="0"/>
    <x v="1615"/>
    <x v="1613"/>
    <x v="6"/>
  </r>
  <r>
    <x v="498"/>
    <x v="5"/>
    <x v="5"/>
    <x v="5"/>
    <x v="5"/>
    <x v="6"/>
    <x v="6"/>
    <x v="0"/>
    <x v="0"/>
    <x v="0"/>
    <x v="0"/>
    <x v="0"/>
    <x v="0"/>
    <x v="1546"/>
    <x v="1614"/>
    <x v="6"/>
  </r>
  <r>
    <x v="498"/>
    <x v="5"/>
    <x v="5"/>
    <x v="6"/>
    <x v="5"/>
    <x v="6"/>
    <x v="6"/>
    <x v="0"/>
    <x v="0"/>
    <x v="0"/>
    <x v="0"/>
    <x v="0"/>
    <x v="0"/>
    <x v="1616"/>
    <x v="1615"/>
    <x v="6"/>
  </r>
  <r>
    <x v="498"/>
    <x v="5"/>
    <x v="5"/>
    <x v="5"/>
    <x v="5"/>
    <x v="6"/>
    <x v="6"/>
    <x v="0"/>
    <x v="0"/>
    <x v="0"/>
    <x v="0"/>
    <x v="0"/>
    <x v="0"/>
    <x v="1617"/>
    <x v="1616"/>
    <x v="6"/>
  </r>
  <r>
    <x v="498"/>
    <x v="5"/>
    <x v="5"/>
    <x v="5"/>
    <x v="5"/>
    <x v="6"/>
    <x v="6"/>
    <x v="0"/>
    <x v="0"/>
    <x v="0"/>
    <x v="0"/>
    <x v="0"/>
    <x v="0"/>
    <x v="1618"/>
    <x v="1617"/>
    <x v="6"/>
  </r>
  <r>
    <x v="499"/>
    <x v="25"/>
    <x v="28"/>
    <x v="16"/>
    <x v="5"/>
    <x v="6"/>
    <x v="6"/>
    <x v="0"/>
    <x v="0"/>
    <x v="0"/>
    <x v="0"/>
    <x v="0"/>
    <x v="0"/>
    <x v="1536"/>
    <x v="1618"/>
    <x v="6"/>
  </r>
  <r>
    <x v="499"/>
    <x v="31"/>
    <x v="35"/>
    <x v="16"/>
    <x v="5"/>
    <x v="6"/>
    <x v="6"/>
    <x v="0"/>
    <x v="0"/>
    <x v="0"/>
    <x v="0"/>
    <x v="0"/>
    <x v="0"/>
    <x v="1619"/>
    <x v="1619"/>
    <x v="6"/>
  </r>
  <r>
    <x v="500"/>
    <x v="31"/>
    <x v="35"/>
    <x v="1"/>
    <x v="547"/>
    <x v="8"/>
    <x v="595"/>
    <x v="101"/>
    <x v="290"/>
    <x v="0"/>
    <x v="0"/>
    <x v="0"/>
    <x v="0"/>
    <x v="1604"/>
    <x v="1620"/>
    <x v="95"/>
  </r>
  <r>
    <x v="500"/>
    <x v="5"/>
    <x v="5"/>
    <x v="2"/>
    <x v="5"/>
    <x v="6"/>
    <x v="6"/>
    <x v="0"/>
    <x v="0"/>
    <x v="0"/>
    <x v="0"/>
    <x v="0"/>
    <x v="0"/>
    <x v="1605"/>
    <x v="1619"/>
    <x v="6"/>
  </r>
  <r>
    <x v="501"/>
    <x v="5"/>
    <x v="5"/>
    <x v="13"/>
    <x v="5"/>
    <x v="6"/>
    <x v="6"/>
    <x v="0"/>
    <x v="0"/>
    <x v="0"/>
    <x v="0"/>
    <x v="0"/>
    <x v="0"/>
    <x v="1620"/>
    <x v="1621"/>
    <x v="6"/>
  </r>
  <r>
    <x v="501"/>
    <x v="31"/>
    <x v="35"/>
    <x v="8"/>
    <x v="549"/>
    <x v="8"/>
    <x v="597"/>
    <x v="22"/>
    <x v="364"/>
    <x v="262"/>
    <x v="0"/>
    <x v="0"/>
    <x v="0"/>
    <x v="1608"/>
    <x v="1622"/>
    <x v="62"/>
  </r>
  <r>
    <x v="501"/>
    <x v="5"/>
    <x v="5"/>
    <x v="21"/>
    <x v="5"/>
    <x v="6"/>
    <x v="6"/>
    <x v="0"/>
    <x v="0"/>
    <x v="0"/>
    <x v="0"/>
    <x v="0"/>
    <x v="0"/>
    <x v="1621"/>
    <x v="1623"/>
    <x v="6"/>
  </r>
  <r>
    <x v="501"/>
    <x v="5"/>
    <x v="5"/>
    <x v="21"/>
    <x v="5"/>
    <x v="6"/>
    <x v="6"/>
    <x v="0"/>
    <x v="0"/>
    <x v="0"/>
    <x v="0"/>
    <x v="0"/>
    <x v="0"/>
    <x v="1621"/>
    <x v="1624"/>
    <x v="6"/>
  </r>
  <r>
    <x v="501"/>
    <x v="5"/>
    <x v="5"/>
    <x v="6"/>
    <x v="5"/>
    <x v="6"/>
    <x v="6"/>
    <x v="0"/>
    <x v="0"/>
    <x v="0"/>
    <x v="0"/>
    <x v="0"/>
    <x v="0"/>
    <x v="1622"/>
    <x v="1625"/>
    <x v="6"/>
  </r>
  <r>
    <x v="501"/>
    <x v="5"/>
    <x v="5"/>
    <x v="5"/>
    <x v="5"/>
    <x v="6"/>
    <x v="6"/>
    <x v="0"/>
    <x v="0"/>
    <x v="0"/>
    <x v="0"/>
    <x v="0"/>
    <x v="0"/>
    <x v="1623"/>
    <x v="1626"/>
    <x v="6"/>
  </r>
  <r>
    <x v="501"/>
    <x v="5"/>
    <x v="5"/>
    <x v="6"/>
    <x v="5"/>
    <x v="6"/>
    <x v="6"/>
    <x v="0"/>
    <x v="0"/>
    <x v="0"/>
    <x v="0"/>
    <x v="0"/>
    <x v="0"/>
    <x v="1591"/>
    <x v="1627"/>
    <x v="6"/>
  </r>
  <r>
    <x v="501"/>
    <x v="5"/>
    <x v="5"/>
    <x v="5"/>
    <x v="5"/>
    <x v="6"/>
    <x v="6"/>
    <x v="0"/>
    <x v="0"/>
    <x v="0"/>
    <x v="0"/>
    <x v="0"/>
    <x v="0"/>
    <x v="1624"/>
    <x v="1628"/>
    <x v="6"/>
  </r>
  <r>
    <x v="501"/>
    <x v="5"/>
    <x v="5"/>
    <x v="21"/>
    <x v="5"/>
    <x v="6"/>
    <x v="6"/>
    <x v="0"/>
    <x v="0"/>
    <x v="0"/>
    <x v="0"/>
    <x v="0"/>
    <x v="0"/>
    <x v="1625"/>
    <x v="1629"/>
    <x v="6"/>
  </r>
  <r>
    <x v="501"/>
    <x v="5"/>
    <x v="5"/>
    <x v="21"/>
    <x v="5"/>
    <x v="6"/>
    <x v="6"/>
    <x v="0"/>
    <x v="0"/>
    <x v="0"/>
    <x v="0"/>
    <x v="0"/>
    <x v="0"/>
    <x v="1625"/>
    <x v="1630"/>
    <x v="6"/>
  </r>
  <r>
    <x v="501"/>
    <x v="5"/>
    <x v="5"/>
    <x v="6"/>
    <x v="5"/>
    <x v="6"/>
    <x v="6"/>
    <x v="0"/>
    <x v="0"/>
    <x v="0"/>
    <x v="0"/>
    <x v="0"/>
    <x v="0"/>
    <x v="1626"/>
    <x v="1631"/>
    <x v="6"/>
  </r>
  <r>
    <x v="501"/>
    <x v="5"/>
    <x v="5"/>
    <x v="6"/>
    <x v="5"/>
    <x v="6"/>
    <x v="6"/>
    <x v="0"/>
    <x v="0"/>
    <x v="0"/>
    <x v="0"/>
    <x v="0"/>
    <x v="0"/>
    <x v="1627"/>
    <x v="1632"/>
    <x v="6"/>
  </r>
  <r>
    <x v="501"/>
    <x v="5"/>
    <x v="5"/>
    <x v="6"/>
    <x v="5"/>
    <x v="6"/>
    <x v="6"/>
    <x v="0"/>
    <x v="0"/>
    <x v="0"/>
    <x v="0"/>
    <x v="0"/>
    <x v="0"/>
    <x v="1628"/>
    <x v="1633"/>
    <x v="6"/>
  </r>
  <r>
    <x v="501"/>
    <x v="5"/>
    <x v="5"/>
    <x v="6"/>
    <x v="5"/>
    <x v="6"/>
    <x v="6"/>
    <x v="0"/>
    <x v="0"/>
    <x v="0"/>
    <x v="0"/>
    <x v="0"/>
    <x v="0"/>
    <x v="1629"/>
    <x v="1634"/>
    <x v="6"/>
  </r>
  <r>
    <x v="501"/>
    <x v="5"/>
    <x v="5"/>
    <x v="6"/>
    <x v="5"/>
    <x v="6"/>
    <x v="6"/>
    <x v="0"/>
    <x v="0"/>
    <x v="0"/>
    <x v="0"/>
    <x v="0"/>
    <x v="0"/>
    <x v="1630"/>
    <x v="1635"/>
    <x v="6"/>
  </r>
  <r>
    <x v="501"/>
    <x v="5"/>
    <x v="5"/>
    <x v="6"/>
    <x v="5"/>
    <x v="6"/>
    <x v="6"/>
    <x v="0"/>
    <x v="0"/>
    <x v="0"/>
    <x v="0"/>
    <x v="0"/>
    <x v="0"/>
    <x v="1631"/>
    <x v="1636"/>
    <x v="6"/>
  </r>
  <r>
    <x v="502"/>
    <x v="31"/>
    <x v="35"/>
    <x v="16"/>
    <x v="5"/>
    <x v="6"/>
    <x v="6"/>
    <x v="0"/>
    <x v="0"/>
    <x v="0"/>
    <x v="0"/>
    <x v="0"/>
    <x v="0"/>
    <x v="1572"/>
    <x v="1637"/>
    <x v="6"/>
  </r>
  <r>
    <x v="503"/>
    <x v="31"/>
    <x v="35"/>
    <x v="1"/>
    <x v="547"/>
    <x v="8"/>
    <x v="595"/>
    <x v="101"/>
    <x v="290"/>
    <x v="0"/>
    <x v="0"/>
    <x v="0"/>
    <x v="0"/>
    <x v="1604"/>
    <x v="1638"/>
    <x v="95"/>
  </r>
  <r>
    <x v="503"/>
    <x v="5"/>
    <x v="5"/>
    <x v="2"/>
    <x v="5"/>
    <x v="6"/>
    <x v="6"/>
    <x v="0"/>
    <x v="0"/>
    <x v="0"/>
    <x v="0"/>
    <x v="0"/>
    <x v="0"/>
    <x v="1605"/>
    <x v="1637"/>
    <x v="6"/>
  </r>
  <r>
    <x v="504"/>
    <x v="5"/>
    <x v="5"/>
    <x v="12"/>
    <x v="5"/>
    <x v="6"/>
    <x v="6"/>
    <x v="0"/>
    <x v="0"/>
    <x v="0"/>
    <x v="0"/>
    <x v="0"/>
    <x v="0"/>
    <x v="1632"/>
    <x v="1639"/>
    <x v="6"/>
  </r>
  <r>
    <x v="504"/>
    <x v="31"/>
    <x v="35"/>
    <x v="4"/>
    <x v="546"/>
    <x v="8"/>
    <x v="594"/>
    <x v="2"/>
    <x v="366"/>
    <x v="261"/>
    <x v="0"/>
    <x v="0"/>
    <x v="0"/>
    <x v="1633"/>
    <x v="1640"/>
    <x v="62"/>
  </r>
  <r>
    <x v="505"/>
    <x v="31"/>
    <x v="35"/>
    <x v="16"/>
    <x v="5"/>
    <x v="6"/>
    <x v="6"/>
    <x v="0"/>
    <x v="0"/>
    <x v="0"/>
    <x v="0"/>
    <x v="0"/>
    <x v="0"/>
    <x v="1572"/>
    <x v="1641"/>
    <x v="6"/>
  </r>
  <r>
    <x v="505"/>
    <x v="31"/>
    <x v="35"/>
    <x v="1"/>
    <x v="547"/>
    <x v="8"/>
    <x v="595"/>
    <x v="101"/>
    <x v="362"/>
    <x v="0"/>
    <x v="0"/>
    <x v="0"/>
    <x v="0"/>
    <x v="1604"/>
    <x v="1642"/>
    <x v="95"/>
  </r>
  <r>
    <x v="505"/>
    <x v="5"/>
    <x v="5"/>
    <x v="2"/>
    <x v="5"/>
    <x v="6"/>
    <x v="6"/>
    <x v="0"/>
    <x v="0"/>
    <x v="0"/>
    <x v="0"/>
    <x v="0"/>
    <x v="0"/>
    <x v="1605"/>
    <x v="1641"/>
    <x v="6"/>
  </r>
  <r>
    <x v="505"/>
    <x v="5"/>
    <x v="5"/>
    <x v="21"/>
    <x v="5"/>
    <x v="6"/>
    <x v="6"/>
    <x v="0"/>
    <x v="0"/>
    <x v="0"/>
    <x v="0"/>
    <x v="0"/>
    <x v="0"/>
    <x v="1634"/>
    <x v="1643"/>
    <x v="6"/>
  </r>
  <r>
    <x v="505"/>
    <x v="5"/>
    <x v="5"/>
    <x v="21"/>
    <x v="5"/>
    <x v="6"/>
    <x v="6"/>
    <x v="0"/>
    <x v="0"/>
    <x v="0"/>
    <x v="0"/>
    <x v="0"/>
    <x v="0"/>
    <x v="1634"/>
    <x v="1644"/>
    <x v="6"/>
  </r>
  <r>
    <x v="505"/>
    <x v="5"/>
    <x v="5"/>
    <x v="6"/>
    <x v="5"/>
    <x v="6"/>
    <x v="6"/>
    <x v="0"/>
    <x v="0"/>
    <x v="0"/>
    <x v="0"/>
    <x v="0"/>
    <x v="0"/>
    <x v="1635"/>
    <x v="1645"/>
    <x v="6"/>
  </r>
  <r>
    <x v="505"/>
    <x v="5"/>
    <x v="5"/>
    <x v="6"/>
    <x v="5"/>
    <x v="6"/>
    <x v="6"/>
    <x v="0"/>
    <x v="0"/>
    <x v="0"/>
    <x v="0"/>
    <x v="0"/>
    <x v="0"/>
    <x v="1636"/>
    <x v="1646"/>
    <x v="6"/>
  </r>
  <r>
    <x v="505"/>
    <x v="5"/>
    <x v="5"/>
    <x v="6"/>
    <x v="5"/>
    <x v="6"/>
    <x v="6"/>
    <x v="0"/>
    <x v="0"/>
    <x v="0"/>
    <x v="0"/>
    <x v="0"/>
    <x v="0"/>
    <x v="1637"/>
    <x v="1647"/>
    <x v="6"/>
  </r>
  <r>
    <x v="505"/>
    <x v="5"/>
    <x v="5"/>
    <x v="6"/>
    <x v="5"/>
    <x v="6"/>
    <x v="6"/>
    <x v="0"/>
    <x v="0"/>
    <x v="0"/>
    <x v="0"/>
    <x v="0"/>
    <x v="0"/>
    <x v="1638"/>
    <x v="1648"/>
    <x v="6"/>
  </r>
  <r>
    <x v="505"/>
    <x v="5"/>
    <x v="5"/>
    <x v="6"/>
    <x v="5"/>
    <x v="6"/>
    <x v="6"/>
    <x v="0"/>
    <x v="0"/>
    <x v="0"/>
    <x v="0"/>
    <x v="0"/>
    <x v="0"/>
    <x v="1639"/>
    <x v="1649"/>
    <x v="6"/>
  </r>
  <r>
    <x v="505"/>
    <x v="5"/>
    <x v="5"/>
    <x v="6"/>
    <x v="5"/>
    <x v="6"/>
    <x v="6"/>
    <x v="0"/>
    <x v="0"/>
    <x v="0"/>
    <x v="0"/>
    <x v="0"/>
    <x v="0"/>
    <x v="1638"/>
    <x v="1650"/>
    <x v="6"/>
  </r>
  <r>
    <x v="505"/>
    <x v="5"/>
    <x v="5"/>
    <x v="6"/>
    <x v="5"/>
    <x v="6"/>
    <x v="6"/>
    <x v="0"/>
    <x v="0"/>
    <x v="0"/>
    <x v="0"/>
    <x v="0"/>
    <x v="0"/>
    <x v="1640"/>
    <x v="1651"/>
    <x v="6"/>
  </r>
  <r>
    <x v="505"/>
    <x v="5"/>
    <x v="5"/>
    <x v="6"/>
    <x v="5"/>
    <x v="6"/>
    <x v="6"/>
    <x v="0"/>
    <x v="0"/>
    <x v="0"/>
    <x v="0"/>
    <x v="0"/>
    <x v="0"/>
    <x v="1641"/>
    <x v="1652"/>
    <x v="6"/>
  </r>
  <r>
    <x v="506"/>
    <x v="35"/>
    <x v="39"/>
    <x v="14"/>
    <x v="5"/>
    <x v="63"/>
    <x v="598"/>
    <x v="0"/>
    <x v="0"/>
    <x v="0"/>
    <x v="0"/>
    <x v="0"/>
    <x v="0"/>
    <x v="1642"/>
    <x v="1653"/>
    <x v="6"/>
  </r>
  <r>
    <x v="507"/>
    <x v="5"/>
    <x v="5"/>
    <x v="21"/>
    <x v="5"/>
    <x v="6"/>
    <x v="6"/>
    <x v="0"/>
    <x v="0"/>
    <x v="0"/>
    <x v="0"/>
    <x v="0"/>
    <x v="0"/>
    <x v="1643"/>
    <x v="1654"/>
    <x v="6"/>
  </r>
  <r>
    <x v="507"/>
    <x v="5"/>
    <x v="5"/>
    <x v="21"/>
    <x v="5"/>
    <x v="6"/>
    <x v="6"/>
    <x v="0"/>
    <x v="0"/>
    <x v="0"/>
    <x v="0"/>
    <x v="0"/>
    <x v="0"/>
    <x v="1643"/>
    <x v="1655"/>
    <x v="6"/>
  </r>
  <r>
    <x v="507"/>
    <x v="5"/>
    <x v="5"/>
    <x v="6"/>
    <x v="5"/>
    <x v="6"/>
    <x v="6"/>
    <x v="0"/>
    <x v="0"/>
    <x v="0"/>
    <x v="0"/>
    <x v="0"/>
    <x v="0"/>
    <x v="1644"/>
    <x v="1656"/>
    <x v="6"/>
  </r>
  <r>
    <x v="507"/>
    <x v="5"/>
    <x v="5"/>
    <x v="5"/>
    <x v="5"/>
    <x v="6"/>
    <x v="6"/>
    <x v="0"/>
    <x v="0"/>
    <x v="0"/>
    <x v="0"/>
    <x v="0"/>
    <x v="0"/>
    <x v="1645"/>
    <x v="1657"/>
    <x v="6"/>
  </r>
  <r>
    <x v="508"/>
    <x v="25"/>
    <x v="28"/>
    <x v="1"/>
    <x v="551"/>
    <x v="8"/>
    <x v="599"/>
    <x v="255"/>
    <x v="295"/>
    <x v="0"/>
    <x v="0"/>
    <x v="0"/>
    <x v="0"/>
    <x v="1646"/>
    <x v="1658"/>
    <x v="102"/>
  </r>
  <r>
    <x v="508"/>
    <x v="5"/>
    <x v="5"/>
    <x v="2"/>
    <x v="5"/>
    <x v="6"/>
    <x v="6"/>
    <x v="0"/>
    <x v="0"/>
    <x v="0"/>
    <x v="0"/>
    <x v="0"/>
    <x v="0"/>
    <x v="1647"/>
    <x v="1657"/>
    <x v="6"/>
  </r>
  <r>
    <x v="509"/>
    <x v="31"/>
    <x v="35"/>
    <x v="1"/>
    <x v="303"/>
    <x v="8"/>
    <x v="217"/>
    <x v="302"/>
    <x v="344"/>
    <x v="0"/>
    <x v="0"/>
    <x v="0"/>
    <x v="0"/>
    <x v="1573"/>
    <x v="1659"/>
    <x v="98"/>
  </r>
  <r>
    <x v="509"/>
    <x v="5"/>
    <x v="5"/>
    <x v="2"/>
    <x v="5"/>
    <x v="6"/>
    <x v="6"/>
    <x v="0"/>
    <x v="0"/>
    <x v="0"/>
    <x v="0"/>
    <x v="0"/>
    <x v="0"/>
    <x v="1575"/>
    <x v="1657"/>
    <x v="6"/>
  </r>
  <r>
    <x v="510"/>
    <x v="39"/>
    <x v="44"/>
    <x v="10"/>
    <x v="552"/>
    <x v="5"/>
    <x v="600"/>
    <x v="2"/>
    <x v="179"/>
    <x v="0"/>
    <x v="0"/>
    <x v="0"/>
    <x v="0"/>
    <x v="1648"/>
    <x v="1660"/>
    <x v="5"/>
  </r>
  <r>
    <x v="511"/>
    <x v="31"/>
    <x v="35"/>
    <x v="1"/>
    <x v="553"/>
    <x v="11"/>
    <x v="601"/>
    <x v="326"/>
    <x v="238"/>
    <x v="0"/>
    <x v="0"/>
    <x v="0"/>
    <x v="0"/>
    <x v="1649"/>
    <x v="1661"/>
    <x v="103"/>
  </r>
  <r>
    <x v="511"/>
    <x v="5"/>
    <x v="5"/>
    <x v="2"/>
    <x v="5"/>
    <x v="6"/>
    <x v="6"/>
    <x v="0"/>
    <x v="0"/>
    <x v="0"/>
    <x v="0"/>
    <x v="0"/>
    <x v="0"/>
    <x v="1650"/>
    <x v="1660"/>
    <x v="6"/>
  </r>
  <r>
    <x v="512"/>
    <x v="19"/>
    <x v="45"/>
    <x v="10"/>
    <x v="554"/>
    <x v="8"/>
    <x v="602"/>
    <x v="2"/>
    <x v="211"/>
    <x v="0"/>
    <x v="51"/>
    <x v="0"/>
    <x v="0"/>
    <x v="1651"/>
    <x v="1662"/>
    <x v="8"/>
  </r>
  <r>
    <x v="513"/>
    <x v="5"/>
    <x v="5"/>
    <x v="3"/>
    <x v="5"/>
    <x v="6"/>
    <x v="6"/>
    <x v="0"/>
    <x v="0"/>
    <x v="0"/>
    <x v="0"/>
    <x v="0"/>
    <x v="0"/>
    <x v="1652"/>
    <x v="1663"/>
    <x v="6"/>
  </r>
  <r>
    <x v="514"/>
    <x v="31"/>
    <x v="35"/>
    <x v="4"/>
    <x v="555"/>
    <x v="11"/>
    <x v="463"/>
    <x v="267"/>
    <x v="305"/>
    <x v="204"/>
    <x v="0"/>
    <x v="0"/>
    <x v="0"/>
    <x v="1041"/>
    <x v="1664"/>
    <x v="98"/>
  </r>
  <r>
    <x v="514"/>
    <x v="19"/>
    <x v="45"/>
    <x v="4"/>
    <x v="556"/>
    <x v="8"/>
    <x v="603"/>
    <x v="2"/>
    <x v="191"/>
    <x v="264"/>
    <x v="61"/>
    <x v="0"/>
    <x v="0"/>
    <x v="1653"/>
    <x v="1665"/>
    <x v="6"/>
  </r>
  <r>
    <x v="514"/>
    <x v="39"/>
    <x v="44"/>
    <x v="10"/>
    <x v="557"/>
    <x v="7"/>
    <x v="604"/>
    <x v="2"/>
    <x v="136"/>
    <x v="0"/>
    <x v="0"/>
    <x v="0"/>
    <x v="0"/>
    <x v="1654"/>
    <x v="1666"/>
    <x v="0"/>
  </r>
  <r>
    <x v="514"/>
    <x v="5"/>
    <x v="5"/>
    <x v="21"/>
    <x v="5"/>
    <x v="6"/>
    <x v="6"/>
    <x v="0"/>
    <x v="0"/>
    <x v="0"/>
    <x v="0"/>
    <x v="0"/>
    <x v="0"/>
    <x v="1655"/>
    <x v="1667"/>
    <x v="6"/>
  </r>
  <r>
    <x v="514"/>
    <x v="5"/>
    <x v="5"/>
    <x v="21"/>
    <x v="5"/>
    <x v="6"/>
    <x v="6"/>
    <x v="0"/>
    <x v="0"/>
    <x v="0"/>
    <x v="0"/>
    <x v="0"/>
    <x v="0"/>
    <x v="1655"/>
    <x v="1668"/>
    <x v="6"/>
  </r>
  <r>
    <x v="514"/>
    <x v="5"/>
    <x v="5"/>
    <x v="6"/>
    <x v="5"/>
    <x v="6"/>
    <x v="6"/>
    <x v="0"/>
    <x v="0"/>
    <x v="0"/>
    <x v="0"/>
    <x v="0"/>
    <x v="0"/>
    <x v="1656"/>
    <x v="1669"/>
    <x v="6"/>
  </r>
  <r>
    <x v="514"/>
    <x v="5"/>
    <x v="5"/>
    <x v="5"/>
    <x v="5"/>
    <x v="6"/>
    <x v="6"/>
    <x v="0"/>
    <x v="0"/>
    <x v="0"/>
    <x v="0"/>
    <x v="0"/>
    <x v="0"/>
    <x v="1657"/>
    <x v="1670"/>
    <x v="6"/>
  </r>
  <r>
    <x v="514"/>
    <x v="5"/>
    <x v="5"/>
    <x v="6"/>
    <x v="5"/>
    <x v="6"/>
    <x v="6"/>
    <x v="0"/>
    <x v="0"/>
    <x v="0"/>
    <x v="0"/>
    <x v="0"/>
    <x v="0"/>
    <x v="1658"/>
    <x v="1671"/>
    <x v="6"/>
  </r>
  <r>
    <x v="514"/>
    <x v="5"/>
    <x v="5"/>
    <x v="5"/>
    <x v="5"/>
    <x v="6"/>
    <x v="6"/>
    <x v="0"/>
    <x v="0"/>
    <x v="0"/>
    <x v="0"/>
    <x v="0"/>
    <x v="0"/>
    <x v="1659"/>
    <x v="1672"/>
    <x v="6"/>
  </r>
  <r>
    <x v="515"/>
    <x v="31"/>
    <x v="35"/>
    <x v="16"/>
    <x v="5"/>
    <x v="6"/>
    <x v="6"/>
    <x v="0"/>
    <x v="0"/>
    <x v="0"/>
    <x v="0"/>
    <x v="0"/>
    <x v="0"/>
    <x v="1660"/>
    <x v="1673"/>
    <x v="6"/>
  </r>
  <r>
    <x v="515"/>
    <x v="39"/>
    <x v="44"/>
    <x v="4"/>
    <x v="558"/>
    <x v="0"/>
    <x v="605"/>
    <x v="327"/>
    <x v="367"/>
    <x v="265"/>
    <x v="0"/>
    <x v="0"/>
    <x v="0"/>
    <x v="1661"/>
    <x v="1674"/>
    <x v="6"/>
  </r>
  <r>
    <x v="516"/>
    <x v="5"/>
    <x v="5"/>
    <x v="21"/>
    <x v="5"/>
    <x v="6"/>
    <x v="6"/>
    <x v="0"/>
    <x v="0"/>
    <x v="0"/>
    <x v="0"/>
    <x v="0"/>
    <x v="0"/>
    <x v="1662"/>
    <x v="1675"/>
    <x v="6"/>
  </r>
  <r>
    <x v="516"/>
    <x v="5"/>
    <x v="5"/>
    <x v="21"/>
    <x v="5"/>
    <x v="6"/>
    <x v="6"/>
    <x v="0"/>
    <x v="0"/>
    <x v="0"/>
    <x v="0"/>
    <x v="0"/>
    <x v="0"/>
    <x v="1662"/>
    <x v="1676"/>
    <x v="6"/>
  </r>
  <r>
    <x v="516"/>
    <x v="5"/>
    <x v="5"/>
    <x v="6"/>
    <x v="5"/>
    <x v="6"/>
    <x v="6"/>
    <x v="0"/>
    <x v="0"/>
    <x v="0"/>
    <x v="0"/>
    <x v="0"/>
    <x v="0"/>
    <x v="1663"/>
    <x v="1677"/>
    <x v="6"/>
  </r>
  <r>
    <x v="516"/>
    <x v="5"/>
    <x v="5"/>
    <x v="6"/>
    <x v="5"/>
    <x v="6"/>
    <x v="6"/>
    <x v="0"/>
    <x v="0"/>
    <x v="0"/>
    <x v="0"/>
    <x v="0"/>
    <x v="0"/>
    <x v="1664"/>
    <x v="1678"/>
    <x v="6"/>
  </r>
  <r>
    <x v="516"/>
    <x v="5"/>
    <x v="5"/>
    <x v="6"/>
    <x v="5"/>
    <x v="6"/>
    <x v="6"/>
    <x v="0"/>
    <x v="0"/>
    <x v="0"/>
    <x v="0"/>
    <x v="0"/>
    <x v="0"/>
    <x v="1665"/>
    <x v="1679"/>
    <x v="6"/>
  </r>
  <r>
    <x v="516"/>
    <x v="5"/>
    <x v="5"/>
    <x v="6"/>
    <x v="5"/>
    <x v="6"/>
    <x v="6"/>
    <x v="0"/>
    <x v="0"/>
    <x v="0"/>
    <x v="0"/>
    <x v="0"/>
    <x v="0"/>
    <x v="1666"/>
    <x v="1680"/>
    <x v="6"/>
  </r>
  <r>
    <x v="516"/>
    <x v="5"/>
    <x v="5"/>
    <x v="6"/>
    <x v="5"/>
    <x v="6"/>
    <x v="6"/>
    <x v="0"/>
    <x v="0"/>
    <x v="0"/>
    <x v="0"/>
    <x v="0"/>
    <x v="0"/>
    <x v="1665"/>
    <x v="1681"/>
    <x v="6"/>
  </r>
  <r>
    <x v="516"/>
    <x v="5"/>
    <x v="5"/>
    <x v="6"/>
    <x v="5"/>
    <x v="6"/>
    <x v="6"/>
    <x v="0"/>
    <x v="0"/>
    <x v="0"/>
    <x v="0"/>
    <x v="0"/>
    <x v="0"/>
    <x v="1665"/>
    <x v="1682"/>
    <x v="6"/>
  </r>
  <r>
    <x v="516"/>
    <x v="5"/>
    <x v="5"/>
    <x v="6"/>
    <x v="5"/>
    <x v="6"/>
    <x v="6"/>
    <x v="0"/>
    <x v="0"/>
    <x v="0"/>
    <x v="0"/>
    <x v="0"/>
    <x v="0"/>
    <x v="1665"/>
    <x v="1683"/>
    <x v="6"/>
  </r>
  <r>
    <x v="516"/>
    <x v="5"/>
    <x v="5"/>
    <x v="6"/>
    <x v="5"/>
    <x v="6"/>
    <x v="6"/>
    <x v="0"/>
    <x v="0"/>
    <x v="0"/>
    <x v="0"/>
    <x v="0"/>
    <x v="0"/>
    <x v="1667"/>
    <x v="1684"/>
    <x v="6"/>
  </r>
  <r>
    <x v="516"/>
    <x v="5"/>
    <x v="5"/>
    <x v="6"/>
    <x v="5"/>
    <x v="6"/>
    <x v="6"/>
    <x v="0"/>
    <x v="0"/>
    <x v="0"/>
    <x v="0"/>
    <x v="0"/>
    <x v="0"/>
    <x v="1668"/>
    <x v="1685"/>
    <x v="6"/>
  </r>
  <r>
    <x v="516"/>
    <x v="5"/>
    <x v="5"/>
    <x v="6"/>
    <x v="5"/>
    <x v="6"/>
    <x v="6"/>
    <x v="0"/>
    <x v="0"/>
    <x v="0"/>
    <x v="0"/>
    <x v="0"/>
    <x v="0"/>
    <x v="1669"/>
    <x v="1686"/>
    <x v="6"/>
  </r>
  <r>
    <x v="517"/>
    <x v="35"/>
    <x v="39"/>
    <x v="8"/>
    <x v="440"/>
    <x v="18"/>
    <x v="470"/>
    <x v="269"/>
    <x v="368"/>
    <x v="266"/>
    <x v="49"/>
    <x v="0"/>
    <x v="0"/>
    <x v="1670"/>
    <x v="1687"/>
    <x v="104"/>
  </r>
  <r>
    <x v="517"/>
    <x v="5"/>
    <x v="5"/>
    <x v="21"/>
    <x v="5"/>
    <x v="6"/>
    <x v="6"/>
    <x v="0"/>
    <x v="0"/>
    <x v="0"/>
    <x v="0"/>
    <x v="0"/>
    <x v="0"/>
    <x v="1671"/>
    <x v="1688"/>
    <x v="6"/>
  </r>
  <r>
    <x v="517"/>
    <x v="5"/>
    <x v="5"/>
    <x v="21"/>
    <x v="5"/>
    <x v="6"/>
    <x v="6"/>
    <x v="0"/>
    <x v="0"/>
    <x v="0"/>
    <x v="0"/>
    <x v="0"/>
    <x v="0"/>
    <x v="1671"/>
    <x v="1689"/>
    <x v="6"/>
  </r>
  <r>
    <x v="517"/>
    <x v="5"/>
    <x v="5"/>
    <x v="6"/>
    <x v="5"/>
    <x v="6"/>
    <x v="6"/>
    <x v="0"/>
    <x v="0"/>
    <x v="0"/>
    <x v="0"/>
    <x v="0"/>
    <x v="0"/>
    <x v="965"/>
    <x v="1690"/>
    <x v="6"/>
  </r>
  <r>
    <x v="517"/>
    <x v="5"/>
    <x v="5"/>
    <x v="5"/>
    <x v="5"/>
    <x v="6"/>
    <x v="6"/>
    <x v="0"/>
    <x v="0"/>
    <x v="0"/>
    <x v="0"/>
    <x v="0"/>
    <x v="0"/>
    <x v="1672"/>
    <x v="1691"/>
    <x v="6"/>
  </r>
  <r>
    <x v="517"/>
    <x v="5"/>
    <x v="5"/>
    <x v="6"/>
    <x v="5"/>
    <x v="6"/>
    <x v="6"/>
    <x v="0"/>
    <x v="0"/>
    <x v="0"/>
    <x v="0"/>
    <x v="0"/>
    <x v="0"/>
    <x v="33"/>
    <x v="1692"/>
    <x v="6"/>
  </r>
  <r>
    <x v="517"/>
    <x v="5"/>
    <x v="5"/>
    <x v="5"/>
    <x v="5"/>
    <x v="6"/>
    <x v="6"/>
    <x v="0"/>
    <x v="0"/>
    <x v="0"/>
    <x v="0"/>
    <x v="0"/>
    <x v="0"/>
    <x v="1583"/>
    <x v="1693"/>
    <x v="6"/>
  </r>
  <r>
    <x v="517"/>
    <x v="5"/>
    <x v="5"/>
    <x v="6"/>
    <x v="5"/>
    <x v="6"/>
    <x v="6"/>
    <x v="0"/>
    <x v="0"/>
    <x v="0"/>
    <x v="0"/>
    <x v="0"/>
    <x v="0"/>
    <x v="1673"/>
    <x v="1694"/>
    <x v="6"/>
  </r>
  <r>
    <x v="517"/>
    <x v="5"/>
    <x v="5"/>
    <x v="5"/>
    <x v="5"/>
    <x v="6"/>
    <x v="6"/>
    <x v="0"/>
    <x v="0"/>
    <x v="0"/>
    <x v="0"/>
    <x v="0"/>
    <x v="0"/>
    <x v="1674"/>
    <x v="1695"/>
    <x v="6"/>
  </r>
  <r>
    <x v="518"/>
    <x v="35"/>
    <x v="39"/>
    <x v="16"/>
    <x v="5"/>
    <x v="6"/>
    <x v="6"/>
    <x v="0"/>
    <x v="0"/>
    <x v="0"/>
    <x v="0"/>
    <x v="0"/>
    <x v="0"/>
    <x v="1675"/>
    <x v="1696"/>
    <x v="6"/>
  </r>
  <r>
    <x v="518"/>
    <x v="35"/>
    <x v="39"/>
    <x v="16"/>
    <x v="5"/>
    <x v="6"/>
    <x v="6"/>
    <x v="0"/>
    <x v="0"/>
    <x v="0"/>
    <x v="0"/>
    <x v="0"/>
    <x v="0"/>
    <x v="1676"/>
    <x v="1697"/>
    <x v="6"/>
  </r>
  <r>
    <x v="518"/>
    <x v="35"/>
    <x v="39"/>
    <x v="16"/>
    <x v="5"/>
    <x v="6"/>
    <x v="6"/>
    <x v="0"/>
    <x v="0"/>
    <x v="0"/>
    <x v="0"/>
    <x v="0"/>
    <x v="0"/>
    <x v="1677"/>
    <x v="1698"/>
    <x v="6"/>
  </r>
  <r>
    <x v="518"/>
    <x v="35"/>
    <x v="39"/>
    <x v="16"/>
    <x v="5"/>
    <x v="6"/>
    <x v="6"/>
    <x v="0"/>
    <x v="0"/>
    <x v="0"/>
    <x v="0"/>
    <x v="0"/>
    <x v="0"/>
    <x v="1678"/>
    <x v="1699"/>
    <x v="6"/>
  </r>
  <r>
    <x v="518"/>
    <x v="31"/>
    <x v="35"/>
    <x v="4"/>
    <x v="379"/>
    <x v="8"/>
    <x v="606"/>
    <x v="2"/>
    <x v="369"/>
    <x v="267"/>
    <x v="0"/>
    <x v="0"/>
    <x v="0"/>
    <x v="1679"/>
    <x v="1700"/>
    <x v="95"/>
  </r>
  <r>
    <x v="519"/>
    <x v="5"/>
    <x v="5"/>
    <x v="21"/>
    <x v="5"/>
    <x v="6"/>
    <x v="6"/>
    <x v="0"/>
    <x v="0"/>
    <x v="0"/>
    <x v="0"/>
    <x v="0"/>
    <x v="0"/>
    <x v="1680"/>
    <x v="1701"/>
    <x v="6"/>
  </r>
  <r>
    <x v="519"/>
    <x v="5"/>
    <x v="5"/>
    <x v="21"/>
    <x v="5"/>
    <x v="6"/>
    <x v="6"/>
    <x v="0"/>
    <x v="0"/>
    <x v="0"/>
    <x v="0"/>
    <x v="0"/>
    <x v="0"/>
    <x v="1680"/>
    <x v="1702"/>
    <x v="6"/>
  </r>
  <r>
    <x v="519"/>
    <x v="5"/>
    <x v="5"/>
    <x v="6"/>
    <x v="5"/>
    <x v="6"/>
    <x v="6"/>
    <x v="0"/>
    <x v="0"/>
    <x v="0"/>
    <x v="0"/>
    <x v="0"/>
    <x v="0"/>
    <x v="1681"/>
    <x v="1703"/>
    <x v="6"/>
  </r>
  <r>
    <x v="519"/>
    <x v="5"/>
    <x v="5"/>
    <x v="5"/>
    <x v="5"/>
    <x v="6"/>
    <x v="6"/>
    <x v="0"/>
    <x v="0"/>
    <x v="0"/>
    <x v="0"/>
    <x v="0"/>
    <x v="0"/>
    <x v="1682"/>
    <x v="1704"/>
    <x v="6"/>
  </r>
  <r>
    <x v="519"/>
    <x v="5"/>
    <x v="5"/>
    <x v="6"/>
    <x v="5"/>
    <x v="6"/>
    <x v="6"/>
    <x v="0"/>
    <x v="0"/>
    <x v="0"/>
    <x v="0"/>
    <x v="0"/>
    <x v="0"/>
    <x v="1683"/>
    <x v="1705"/>
    <x v="6"/>
  </r>
  <r>
    <x v="519"/>
    <x v="5"/>
    <x v="5"/>
    <x v="5"/>
    <x v="5"/>
    <x v="6"/>
    <x v="6"/>
    <x v="0"/>
    <x v="0"/>
    <x v="0"/>
    <x v="0"/>
    <x v="0"/>
    <x v="0"/>
    <x v="1606"/>
    <x v="1706"/>
    <x v="6"/>
  </r>
  <r>
    <x v="519"/>
    <x v="5"/>
    <x v="5"/>
    <x v="6"/>
    <x v="5"/>
    <x v="6"/>
    <x v="6"/>
    <x v="0"/>
    <x v="0"/>
    <x v="0"/>
    <x v="0"/>
    <x v="0"/>
    <x v="0"/>
    <x v="1684"/>
    <x v="1707"/>
    <x v="6"/>
  </r>
  <r>
    <x v="519"/>
    <x v="5"/>
    <x v="5"/>
    <x v="5"/>
    <x v="5"/>
    <x v="6"/>
    <x v="6"/>
    <x v="0"/>
    <x v="0"/>
    <x v="0"/>
    <x v="0"/>
    <x v="0"/>
    <x v="0"/>
    <x v="1685"/>
    <x v="1708"/>
    <x v="6"/>
  </r>
  <r>
    <x v="520"/>
    <x v="31"/>
    <x v="35"/>
    <x v="1"/>
    <x v="559"/>
    <x v="11"/>
    <x v="607"/>
    <x v="328"/>
    <x v="370"/>
    <x v="0"/>
    <x v="0"/>
    <x v="0"/>
    <x v="0"/>
    <x v="1686"/>
    <x v="1709"/>
    <x v="105"/>
  </r>
  <r>
    <x v="520"/>
    <x v="5"/>
    <x v="5"/>
    <x v="2"/>
    <x v="5"/>
    <x v="6"/>
    <x v="6"/>
    <x v="0"/>
    <x v="0"/>
    <x v="0"/>
    <x v="0"/>
    <x v="0"/>
    <x v="0"/>
    <x v="1687"/>
    <x v="1708"/>
    <x v="6"/>
  </r>
  <r>
    <x v="521"/>
    <x v="31"/>
    <x v="35"/>
    <x v="1"/>
    <x v="553"/>
    <x v="11"/>
    <x v="601"/>
    <x v="326"/>
    <x v="371"/>
    <x v="0"/>
    <x v="0"/>
    <x v="0"/>
    <x v="0"/>
    <x v="1649"/>
    <x v="1710"/>
    <x v="89"/>
  </r>
  <r>
    <x v="521"/>
    <x v="5"/>
    <x v="5"/>
    <x v="2"/>
    <x v="5"/>
    <x v="6"/>
    <x v="6"/>
    <x v="0"/>
    <x v="0"/>
    <x v="0"/>
    <x v="0"/>
    <x v="0"/>
    <x v="0"/>
    <x v="1650"/>
    <x v="1708"/>
    <x v="6"/>
  </r>
  <r>
    <x v="522"/>
    <x v="25"/>
    <x v="28"/>
    <x v="4"/>
    <x v="328"/>
    <x v="8"/>
    <x v="608"/>
    <x v="2"/>
    <x v="178"/>
    <x v="268"/>
    <x v="0"/>
    <x v="0"/>
    <x v="0"/>
    <x v="1688"/>
    <x v="1711"/>
    <x v="87"/>
  </r>
  <r>
    <x v="523"/>
    <x v="25"/>
    <x v="28"/>
    <x v="16"/>
    <x v="5"/>
    <x v="6"/>
    <x v="6"/>
    <x v="0"/>
    <x v="0"/>
    <x v="0"/>
    <x v="0"/>
    <x v="0"/>
    <x v="0"/>
    <x v="1689"/>
    <x v="1712"/>
    <x v="6"/>
  </r>
  <r>
    <x v="523"/>
    <x v="5"/>
    <x v="5"/>
    <x v="13"/>
    <x v="5"/>
    <x v="6"/>
    <x v="6"/>
    <x v="0"/>
    <x v="0"/>
    <x v="0"/>
    <x v="0"/>
    <x v="0"/>
    <x v="0"/>
    <x v="1690"/>
    <x v="1713"/>
    <x v="6"/>
  </r>
  <r>
    <x v="523"/>
    <x v="31"/>
    <x v="35"/>
    <x v="8"/>
    <x v="559"/>
    <x v="11"/>
    <x v="607"/>
    <x v="328"/>
    <x v="370"/>
    <x v="269"/>
    <x v="0"/>
    <x v="0"/>
    <x v="0"/>
    <x v="1691"/>
    <x v="1714"/>
    <x v="105"/>
  </r>
  <r>
    <x v="523"/>
    <x v="5"/>
    <x v="5"/>
    <x v="6"/>
    <x v="5"/>
    <x v="6"/>
    <x v="6"/>
    <x v="0"/>
    <x v="0"/>
    <x v="0"/>
    <x v="0"/>
    <x v="0"/>
    <x v="0"/>
    <x v="1692"/>
    <x v="1715"/>
    <x v="6"/>
  </r>
  <r>
    <x v="523"/>
    <x v="5"/>
    <x v="5"/>
    <x v="5"/>
    <x v="5"/>
    <x v="6"/>
    <x v="6"/>
    <x v="0"/>
    <x v="0"/>
    <x v="0"/>
    <x v="0"/>
    <x v="0"/>
    <x v="0"/>
    <x v="1693"/>
    <x v="1716"/>
    <x v="6"/>
  </r>
  <r>
    <x v="523"/>
    <x v="5"/>
    <x v="5"/>
    <x v="6"/>
    <x v="5"/>
    <x v="6"/>
    <x v="6"/>
    <x v="0"/>
    <x v="0"/>
    <x v="0"/>
    <x v="0"/>
    <x v="0"/>
    <x v="0"/>
    <x v="1694"/>
    <x v="1717"/>
    <x v="6"/>
  </r>
  <r>
    <x v="523"/>
    <x v="5"/>
    <x v="5"/>
    <x v="5"/>
    <x v="5"/>
    <x v="6"/>
    <x v="6"/>
    <x v="0"/>
    <x v="0"/>
    <x v="0"/>
    <x v="0"/>
    <x v="0"/>
    <x v="0"/>
    <x v="1695"/>
    <x v="1718"/>
    <x v="6"/>
  </r>
  <r>
    <x v="523"/>
    <x v="5"/>
    <x v="5"/>
    <x v="6"/>
    <x v="5"/>
    <x v="6"/>
    <x v="6"/>
    <x v="0"/>
    <x v="0"/>
    <x v="0"/>
    <x v="0"/>
    <x v="0"/>
    <x v="0"/>
    <x v="88"/>
    <x v="1719"/>
    <x v="6"/>
  </r>
  <r>
    <x v="523"/>
    <x v="5"/>
    <x v="5"/>
    <x v="6"/>
    <x v="5"/>
    <x v="6"/>
    <x v="6"/>
    <x v="0"/>
    <x v="0"/>
    <x v="0"/>
    <x v="0"/>
    <x v="0"/>
    <x v="0"/>
    <x v="1696"/>
    <x v="1720"/>
    <x v="6"/>
  </r>
  <r>
    <x v="523"/>
    <x v="5"/>
    <x v="5"/>
    <x v="6"/>
    <x v="5"/>
    <x v="6"/>
    <x v="6"/>
    <x v="0"/>
    <x v="0"/>
    <x v="0"/>
    <x v="0"/>
    <x v="0"/>
    <x v="0"/>
    <x v="1697"/>
    <x v="1721"/>
    <x v="6"/>
  </r>
  <r>
    <x v="523"/>
    <x v="5"/>
    <x v="5"/>
    <x v="6"/>
    <x v="5"/>
    <x v="6"/>
    <x v="6"/>
    <x v="0"/>
    <x v="0"/>
    <x v="0"/>
    <x v="0"/>
    <x v="0"/>
    <x v="0"/>
    <x v="1591"/>
    <x v="1722"/>
    <x v="6"/>
  </r>
  <r>
    <x v="523"/>
    <x v="5"/>
    <x v="5"/>
    <x v="6"/>
    <x v="5"/>
    <x v="6"/>
    <x v="6"/>
    <x v="0"/>
    <x v="0"/>
    <x v="0"/>
    <x v="0"/>
    <x v="0"/>
    <x v="0"/>
    <x v="1698"/>
    <x v="1723"/>
    <x v="6"/>
  </r>
  <r>
    <x v="523"/>
    <x v="5"/>
    <x v="5"/>
    <x v="6"/>
    <x v="5"/>
    <x v="6"/>
    <x v="6"/>
    <x v="0"/>
    <x v="0"/>
    <x v="0"/>
    <x v="0"/>
    <x v="0"/>
    <x v="0"/>
    <x v="1699"/>
    <x v="1724"/>
    <x v="6"/>
  </r>
  <r>
    <x v="523"/>
    <x v="5"/>
    <x v="5"/>
    <x v="6"/>
    <x v="5"/>
    <x v="6"/>
    <x v="6"/>
    <x v="0"/>
    <x v="0"/>
    <x v="0"/>
    <x v="0"/>
    <x v="0"/>
    <x v="0"/>
    <x v="1700"/>
    <x v="1725"/>
    <x v="6"/>
  </r>
  <r>
    <x v="523"/>
    <x v="5"/>
    <x v="5"/>
    <x v="21"/>
    <x v="5"/>
    <x v="6"/>
    <x v="6"/>
    <x v="0"/>
    <x v="0"/>
    <x v="0"/>
    <x v="0"/>
    <x v="0"/>
    <x v="0"/>
    <x v="1701"/>
    <x v="1726"/>
    <x v="6"/>
  </r>
  <r>
    <x v="523"/>
    <x v="5"/>
    <x v="5"/>
    <x v="21"/>
    <x v="5"/>
    <x v="6"/>
    <x v="6"/>
    <x v="0"/>
    <x v="0"/>
    <x v="0"/>
    <x v="0"/>
    <x v="0"/>
    <x v="0"/>
    <x v="1701"/>
    <x v="1727"/>
    <x v="6"/>
  </r>
  <r>
    <x v="524"/>
    <x v="31"/>
    <x v="35"/>
    <x v="4"/>
    <x v="536"/>
    <x v="11"/>
    <x v="609"/>
    <x v="329"/>
    <x v="300"/>
    <x v="270"/>
    <x v="0"/>
    <x v="0"/>
    <x v="0"/>
    <x v="1702"/>
    <x v="1728"/>
    <x v="95"/>
  </r>
  <r>
    <x v="524"/>
    <x v="5"/>
    <x v="5"/>
    <x v="6"/>
    <x v="5"/>
    <x v="6"/>
    <x v="6"/>
    <x v="0"/>
    <x v="0"/>
    <x v="0"/>
    <x v="0"/>
    <x v="0"/>
    <x v="0"/>
    <x v="1703"/>
    <x v="1729"/>
    <x v="6"/>
  </r>
  <r>
    <x v="524"/>
    <x v="5"/>
    <x v="5"/>
    <x v="5"/>
    <x v="5"/>
    <x v="6"/>
    <x v="6"/>
    <x v="0"/>
    <x v="0"/>
    <x v="0"/>
    <x v="0"/>
    <x v="0"/>
    <x v="0"/>
    <x v="1704"/>
    <x v="1730"/>
    <x v="6"/>
  </r>
  <r>
    <x v="524"/>
    <x v="5"/>
    <x v="5"/>
    <x v="6"/>
    <x v="5"/>
    <x v="6"/>
    <x v="6"/>
    <x v="0"/>
    <x v="0"/>
    <x v="0"/>
    <x v="0"/>
    <x v="0"/>
    <x v="0"/>
    <x v="1705"/>
    <x v="1731"/>
    <x v="6"/>
  </r>
  <r>
    <x v="524"/>
    <x v="5"/>
    <x v="5"/>
    <x v="5"/>
    <x v="5"/>
    <x v="6"/>
    <x v="6"/>
    <x v="0"/>
    <x v="0"/>
    <x v="0"/>
    <x v="0"/>
    <x v="0"/>
    <x v="0"/>
    <x v="1604"/>
    <x v="1732"/>
    <x v="6"/>
  </r>
  <r>
    <x v="524"/>
    <x v="5"/>
    <x v="5"/>
    <x v="6"/>
    <x v="5"/>
    <x v="6"/>
    <x v="6"/>
    <x v="0"/>
    <x v="0"/>
    <x v="0"/>
    <x v="0"/>
    <x v="0"/>
    <x v="0"/>
    <x v="1706"/>
    <x v="1733"/>
    <x v="6"/>
  </r>
  <r>
    <x v="524"/>
    <x v="5"/>
    <x v="5"/>
    <x v="5"/>
    <x v="5"/>
    <x v="6"/>
    <x v="6"/>
    <x v="0"/>
    <x v="0"/>
    <x v="0"/>
    <x v="0"/>
    <x v="0"/>
    <x v="0"/>
    <x v="1707"/>
    <x v="1734"/>
    <x v="6"/>
  </r>
  <r>
    <x v="525"/>
    <x v="31"/>
    <x v="35"/>
    <x v="1"/>
    <x v="525"/>
    <x v="11"/>
    <x v="610"/>
    <x v="330"/>
    <x v="372"/>
    <x v="0"/>
    <x v="0"/>
    <x v="0"/>
    <x v="0"/>
    <x v="1708"/>
    <x v="1735"/>
    <x v="105"/>
  </r>
  <r>
    <x v="525"/>
    <x v="5"/>
    <x v="5"/>
    <x v="2"/>
    <x v="5"/>
    <x v="6"/>
    <x v="6"/>
    <x v="0"/>
    <x v="0"/>
    <x v="0"/>
    <x v="0"/>
    <x v="0"/>
    <x v="0"/>
    <x v="1709"/>
    <x v="1734"/>
    <x v="6"/>
  </r>
  <r>
    <x v="526"/>
    <x v="31"/>
    <x v="35"/>
    <x v="1"/>
    <x v="502"/>
    <x v="18"/>
    <x v="144"/>
    <x v="331"/>
    <x v="373"/>
    <x v="0"/>
    <x v="0"/>
    <x v="0"/>
    <x v="0"/>
    <x v="1710"/>
    <x v="1736"/>
    <x v="106"/>
  </r>
  <r>
    <x v="526"/>
    <x v="5"/>
    <x v="5"/>
    <x v="2"/>
    <x v="5"/>
    <x v="6"/>
    <x v="6"/>
    <x v="0"/>
    <x v="0"/>
    <x v="0"/>
    <x v="0"/>
    <x v="0"/>
    <x v="0"/>
    <x v="1711"/>
    <x v="1734"/>
    <x v="6"/>
  </r>
  <r>
    <x v="527"/>
    <x v="5"/>
    <x v="5"/>
    <x v="24"/>
    <x v="5"/>
    <x v="6"/>
    <x v="6"/>
    <x v="0"/>
    <x v="0"/>
    <x v="0"/>
    <x v="0"/>
    <x v="0"/>
    <x v="0"/>
    <x v="1712"/>
    <x v="1737"/>
    <x v="6"/>
  </r>
  <r>
    <x v="527"/>
    <x v="5"/>
    <x v="5"/>
    <x v="24"/>
    <x v="5"/>
    <x v="6"/>
    <x v="6"/>
    <x v="0"/>
    <x v="0"/>
    <x v="0"/>
    <x v="0"/>
    <x v="0"/>
    <x v="0"/>
    <x v="1712"/>
    <x v="1738"/>
    <x v="6"/>
  </r>
  <r>
    <x v="528"/>
    <x v="5"/>
    <x v="5"/>
    <x v="6"/>
    <x v="5"/>
    <x v="6"/>
    <x v="6"/>
    <x v="0"/>
    <x v="0"/>
    <x v="0"/>
    <x v="0"/>
    <x v="0"/>
    <x v="0"/>
    <x v="1713"/>
    <x v="1739"/>
    <x v="6"/>
  </r>
  <r>
    <x v="528"/>
    <x v="5"/>
    <x v="5"/>
    <x v="6"/>
    <x v="5"/>
    <x v="6"/>
    <x v="6"/>
    <x v="0"/>
    <x v="0"/>
    <x v="0"/>
    <x v="0"/>
    <x v="0"/>
    <x v="0"/>
    <x v="1714"/>
    <x v="1740"/>
    <x v="6"/>
  </r>
  <r>
    <x v="528"/>
    <x v="5"/>
    <x v="5"/>
    <x v="6"/>
    <x v="5"/>
    <x v="6"/>
    <x v="6"/>
    <x v="0"/>
    <x v="0"/>
    <x v="0"/>
    <x v="0"/>
    <x v="0"/>
    <x v="0"/>
    <x v="1715"/>
    <x v="1741"/>
    <x v="6"/>
  </r>
  <r>
    <x v="528"/>
    <x v="5"/>
    <x v="5"/>
    <x v="6"/>
    <x v="5"/>
    <x v="6"/>
    <x v="6"/>
    <x v="0"/>
    <x v="0"/>
    <x v="0"/>
    <x v="0"/>
    <x v="0"/>
    <x v="0"/>
    <x v="1716"/>
    <x v="1742"/>
    <x v="6"/>
  </r>
  <r>
    <x v="528"/>
    <x v="5"/>
    <x v="5"/>
    <x v="6"/>
    <x v="5"/>
    <x v="6"/>
    <x v="6"/>
    <x v="0"/>
    <x v="0"/>
    <x v="0"/>
    <x v="0"/>
    <x v="0"/>
    <x v="0"/>
    <x v="1715"/>
    <x v="1743"/>
    <x v="6"/>
  </r>
  <r>
    <x v="528"/>
    <x v="5"/>
    <x v="5"/>
    <x v="21"/>
    <x v="5"/>
    <x v="6"/>
    <x v="6"/>
    <x v="0"/>
    <x v="0"/>
    <x v="0"/>
    <x v="0"/>
    <x v="0"/>
    <x v="0"/>
    <x v="1717"/>
    <x v="1744"/>
    <x v="6"/>
  </r>
  <r>
    <x v="528"/>
    <x v="5"/>
    <x v="5"/>
    <x v="21"/>
    <x v="5"/>
    <x v="6"/>
    <x v="6"/>
    <x v="0"/>
    <x v="0"/>
    <x v="0"/>
    <x v="0"/>
    <x v="0"/>
    <x v="0"/>
    <x v="1718"/>
    <x v="1745"/>
    <x v="6"/>
  </r>
  <r>
    <x v="529"/>
    <x v="31"/>
    <x v="35"/>
    <x v="1"/>
    <x v="322"/>
    <x v="18"/>
    <x v="611"/>
    <x v="332"/>
    <x v="374"/>
    <x v="0"/>
    <x v="0"/>
    <x v="0"/>
    <x v="0"/>
    <x v="1719"/>
    <x v="1746"/>
    <x v="107"/>
  </r>
  <r>
    <x v="529"/>
    <x v="5"/>
    <x v="5"/>
    <x v="2"/>
    <x v="5"/>
    <x v="6"/>
    <x v="6"/>
    <x v="0"/>
    <x v="0"/>
    <x v="0"/>
    <x v="0"/>
    <x v="0"/>
    <x v="0"/>
    <x v="1720"/>
    <x v="1745"/>
    <x v="6"/>
  </r>
  <r>
    <x v="530"/>
    <x v="31"/>
    <x v="35"/>
    <x v="1"/>
    <x v="350"/>
    <x v="18"/>
    <x v="308"/>
    <x v="321"/>
    <x v="375"/>
    <x v="0"/>
    <x v="0"/>
    <x v="0"/>
    <x v="0"/>
    <x v="1721"/>
    <x v="1747"/>
    <x v="108"/>
  </r>
  <r>
    <x v="530"/>
    <x v="5"/>
    <x v="5"/>
    <x v="2"/>
    <x v="5"/>
    <x v="6"/>
    <x v="6"/>
    <x v="0"/>
    <x v="0"/>
    <x v="0"/>
    <x v="0"/>
    <x v="0"/>
    <x v="0"/>
    <x v="1722"/>
    <x v="1745"/>
    <x v="6"/>
  </r>
  <r>
    <x v="531"/>
    <x v="31"/>
    <x v="35"/>
    <x v="8"/>
    <x v="560"/>
    <x v="18"/>
    <x v="612"/>
    <x v="333"/>
    <x v="376"/>
    <x v="271"/>
    <x v="0"/>
    <x v="0"/>
    <x v="0"/>
    <x v="1723"/>
    <x v="1748"/>
    <x v="107"/>
  </r>
  <r>
    <x v="531"/>
    <x v="5"/>
    <x v="5"/>
    <x v="6"/>
    <x v="5"/>
    <x v="6"/>
    <x v="6"/>
    <x v="0"/>
    <x v="0"/>
    <x v="0"/>
    <x v="0"/>
    <x v="0"/>
    <x v="0"/>
    <x v="1724"/>
    <x v="1749"/>
    <x v="6"/>
  </r>
  <r>
    <x v="531"/>
    <x v="5"/>
    <x v="5"/>
    <x v="5"/>
    <x v="5"/>
    <x v="6"/>
    <x v="6"/>
    <x v="0"/>
    <x v="0"/>
    <x v="0"/>
    <x v="0"/>
    <x v="0"/>
    <x v="0"/>
    <x v="1725"/>
    <x v="1750"/>
    <x v="6"/>
  </r>
  <r>
    <x v="531"/>
    <x v="5"/>
    <x v="5"/>
    <x v="6"/>
    <x v="5"/>
    <x v="6"/>
    <x v="6"/>
    <x v="0"/>
    <x v="0"/>
    <x v="0"/>
    <x v="0"/>
    <x v="0"/>
    <x v="0"/>
    <x v="1726"/>
    <x v="1751"/>
    <x v="6"/>
  </r>
  <r>
    <x v="531"/>
    <x v="5"/>
    <x v="5"/>
    <x v="5"/>
    <x v="5"/>
    <x v="6"/>
    <x v="6"/>
    <x v="0"/>
    <x v="0"/>
    <x v="0"/>
    <x v="0"/>
    <x v="0"/>
    <x v="0"/>
    <x v="1573"/>
    <x v="1752"/>
    <x v="6"/>
  </r>
  <r>
    <x v="531"/>
    <x v="5"/>
    <x v="5"/>
    <x v="6"/>
    <x v="5"/>
    <x v="6"/>
    <x v="6"/>
    <x v="0"/>
    <x v="0"/>
    <x v="0"/>
    <x v="0"/>
    <x v="0"/>
    <x v="0"/>
    <x v="1727"/>
    <x v="1753"/>
    <x v="6"/>
  </r>
  <r>
    <x v="531"/>
    <x v="5"/>
    <x v="5"/>
    <x v="5"/>
    <x v="5"/>
    <x v="6"/>
    <x v="6"/>
    <x v="0"/>
    <x v="0"/>
    <x v="0"/>
    <x v="0"/>
    <x v="0"/>
    <x v="0"/>
    <x v="1728"/>
    <x v="1754"/>
    <x v="6"/>
  </r>
  <r>
    <x v="532"/>
    <x v="5"/>
    <x v="5"/>
    <x v="13"/>
    <x v="5"/>
    <x v="6"/>
    <x v="6"/>
    <x v="0"/>
    <x v="0"/>
    <x v="0"/>
    <x v="0"/>
    <x v="0"/>
    <x v="0"/>
    <x v="1729"/>
    <x v="1755"/>
    <x v="6"/>
  </r>
  <r>
    <x v="532"/>
    <x v="5"/>
    <x v="5"/>
    <x v="6"/>
    <x v="5"/>
    <x v="6"/>
    <x v="6"/>
    <x v="0"/>
    <x v="0"/>
    <x v="0"/>
    <x v="0"/>
    <x v="0"/>
    <x v="0"/>
    <x v="1730"/>
    <x v="1756"/>
    <x v="6"/>
  </r>
  <r>
    <x v="532"/>
    <x v="5"/>
    <x v="5"/>
    <x v="6"/>
    <x v="5"/>
    <x v="6"/>
    <x v="6"/>
    <x v="0"/>
    <x v="0"/>
    <x v="0"/>
    <x v="0"/>
    <x v="0"/>
    <x v="0"/>
    <x v="1731"/>
    <x v="1745"/>
    <x v="6"/>
  </r>
  <r>
    <x v="533"/>
    <x v="17"/>
    <x v="19"/>
    <x v="22"/>
    <x v="561"/>
    <x v="8"/>
    <x v="613"/>
    <x v="2"/>
    <x v="182"/>
    <x v="0"/>
    <x v="0"/>
    <x v="0"/>
    <x v="0"/>
    <x v="1732"/>
    <x v="1757"/>
    <x v="8"/>
  </r>
  <r>
    <x v="533"/>
    <x v="17"/>
    <x v="19"/>
    <x v="23"/>
    <x v="5"/>
    <x v="6"/>
    <x v="6"/>
    <x v="0"/>
    <x v="0"/>
    <x v="0"/>
    <x v="0"/>
    <x v="0"/>
    <x v="0"/>
    <x v="0"/>
    <x v="0"/>
    <x v="6"/>
  </r>
  <r>
    <x v="533"/>
    <x v="5"/>
    <x v="5"/>
    <x v="21"/>
    <x v="5"/>
    <x v="6"/>
    <x v="6"/>
    <x v="0"/>
    <x v="0"/>
    <x v="0"/>
    <x v="0"/>
    <x v="0"/>
    <x v="0"/>
    <x v="1733"/>
    <x v="1758"/>
    <x v="6"/>
  </r>
  <r>
    <x v="534"/>
    <x v="31"/>
    <x v="35"/>
    <x v="14"/>
    <x v="5"/>
    <x v="6"/>
    <x v="614"/>
    <x v="0"/>
    <x v="0"/>
    <x v="0"/>
    <x v="0"/>
    <x v="0"/>
    <x v="0"/>
    <x v="1734"/>
    <x v="1759"/>
    <x v="6"/>
  </r>
  <r>
    <x v="534"/>
    <x v="31"/>
    <x v="35"/>
    <x v="1"/>
    <x v="522"/>
    <x v="18"/>
    <x v="615"/>
    <x v="309"/>
    <x v="29"/>
    <x v="0"/>
    <x v="0"/>
    <x v="0"/>
    <x v="0"/>
    <x v="1735"/>
    <x v="1760"/>
    <x v="108"/>
  </r>
  <r>
    <x v="534"/>
    <x v="5"/>
    <x v="5"/>
    <x v="2"/>
    <x v="5"/>
    <x v="6"/>
    <x v="6"/>
    <x v="0"/>
    <x v="0"/>
    <x v="0"/>
    <x v="0"/>
    <x v="0"/>
    <x v="0"/>
    <x v="1736"/>
    <x v="1759"/>
    <x v="6"/>
  </r>
  <r>
    <x v="535"/>
    <x v="5"/>
    <x v="5"/>
    <x v="21"/>
    <x v="5"/>
    <x v="6"/>
    <x v="6"/>
    <x v="0"/>
    <x v="0"/>
    <x v="0"/>
    <x v="0"/>
    <x v="0"/>
    <x v="0"/>
    <x v="1737"/>
    <x v="1761"/>
    <x v="6"/>
  </r>
  <r>
    <x v="535"/>
    <x v="5"/>
    <x v="5"/>
    <x v="6"/>
    <x v="5"/>
    <x v="6"/>
    <x v="6"/>
    <x v="0"/>
    <x v="0"/>
    <x v="0"/>
    <x v="0"/>
    <x v="0"/>
    <x v="0"/>
    <x v="1738"/>
    <x v="1762"/>
    <x v="6"/>
  </r>
  <r>
    <x v="535"/>
    <x v="5"/>
    <x v="5"/>
    <x v="5"/>
    <x v="5"/>
    <x v="6"/>
    <x v="6"/>
    <x v="0"/>
    <x v="0"/>
    <x v="0"/>
    <x v="0"/>
    <x v="0"/>
    <x v="0"/>
    <x v="1739"/>
    <x v="1758"/>
    <x v="6"/>
  </r>
  <r>
    <x v="536"/>
    <x v="25"/>
    <x v="28"/>
    <x v="14"/>
    <x v="5"/>
    <x v="6"/>
    <x v="314"/>
    <x v="0"/>
    <x v="0"/>
    <x v="0"/>
    <x v="0"/>
    <x v="0"/>
    <x v="0"/>
    <x v="611"/>
    <x v="1763"/>
    <x v="6"/>
  </r>
  <r>
    <x v="536"/>
    <x v="31"/>
    <x v="35"/>
    <x v="1"/>
    <x v="562"/>
    <x v="18"/>
    <x v="616"/>
    <x v="334"/>
    <x v="133"/>
    <x v="0"/>
    <x v="0"/>
    <x v="0"/>
    <x v="0"/>
    <x v="1740"/>
    <x v="1764"/>
    <x v="109"/>
  </r>
  <r>
    <x v="536"/>
    <x v="5"/>
    <x v="5"/>
    <x v="2"/>
    <x v="5"/>
    <x v="6"/>
    <x v="6"/>
    <x v="0"/>
    <x v="0"/>
    <x v="0"/>
    <x v="0"/>
    <x v="0"/>
    <x v="0"/>
    <x v="1741"/>
    <x v="1763"/>
    <x v="6"/>
  </r>
  <r>
    <x v="537"/>
    <x v="35"/>
    <x v="39"/>
    <x v="14"/>
    <x v="5"/>
    <x v="64"/>
    <x v="617"/>
    <x v="0"/>
    <x v="0"/>
    <x v="0"/>
    <x v="0"/>
    <x v="0"/>
    <x v="0"/>
    <x v="1742"/>
    <x v="1765"/>
    <x v="6"/>
  </r>
  <r>
    <x v="538"/>
    <x v="5"/>
    <x v="5"/>
    <x v="6"/>
    <x v="5"/>
    <x v="6"/>
    <x v="6"/>
    <x v="0"/>
    <x v="0"/>
    <x v="0"/>
    <x v="0"/>
    <x v="0"/>
    <x v="0"/>
    <x v="1743"/>
    <x v="1766"/>
    <x v="6"/>
  </r>
  <r>
    <x v="538"/>
    <x v="5"/>
    <x v="5"/>
    <x v="5"/>
    <x v="5"/>
    <x v="6"/>
    <x v="6"/>
    <x v="0"/>
    <x v="0"/>
    <x v="0"/>
    <x v="0"/>
    <x v="0"/>
    <x v="0"/>
    <x v="1744"/>
    <x v="1767"/>
    <x v="6"/>
  </r>
  <r>
    <x v="539"/>
    <x v="5"/>
    <x v="5"/>
    <x v="13"/>
    <x v="5"/>
    <x v="6"/>
    <x v="6"/>
    <x v="0"/>
    <x v="0"/>
    <x v="0"/>
    <x v="0"/>
    <x v="0"/>
    <x v="0"/>
    <x v="1745"/>
    <x v="1768"/>
    <x v="6"/>
  </r>
  <r>
    <x v="539"/>
    <x v="5"/>
    <x v="5"/>
    <x v="6"/>
    <x v="5"/>
    <x v="6"/>
    <x v="6"/>
    <x v="0"/>
    <x v="0"/>
    <x v="0"/>
    <x v="0"/>
    <x v="0"/>
    <x v="0"/>
    <x v="1746"/>
    <x v="1769"/>
    <x v="6"/>
  </r>
  <r>
    <x v="539"/>
    <x v="5"/>
    <x v="5"/>
    <x v="6"/>
    <x v="5"/>
    <x v="6"/>
    <x v="6"/>
    <x v="0"/>
    <x v="0"/>
    <x v="0"/>
    <x v="0"/>
    <x v="0"/>
    <x v="0"/>
    <x v="1747"/>
    <x v="1758"/>
    <x v="6"/>
  </r>
  <r>
    <x v="540"/>
    <x v="17"/>
    <x v="19"/>
    <x v="22"/>
    <x v="563"/>
    <x v="65"/>
    <x v="618"/>
    <x v="2"/>
    <x v="173"/>
    <x v="0"/>
    <x v="0"/>
    <x v="0"/>
    <x v="0"/>
    <x v="1748"/>
    <x v="1770"/>
    <x v="110"/>
  </r>
  <r>
    <x v="540"/>
    <x v="17"/>
    <x v="19"/>
    <x v="23"/>
    <x v="5"/>
    <x v="6"/>
    <x v="6"/>
    <x v="0"/>
    <x v="0"/>
    <x v="0"/>
    <x v="0"/>
    <x v="0"/>
    <x v="0"/>
    <x v="0"/>
    <x v="0"/>
    <x v="6"/>
  </r>
  <r>
    <x v="541"/>
    <x v="26"/>
    <x v="29"/>
    <x v="14"/>
    <x v="5"/>
    <x v="6"/>
    <x v="324"/>
    <x v="0"/>
    <x v="0"/>
    <x v="0"/>
    <x v="0"/>
    <x v="0"/>
    <x v="0"/>
    <x v="639"/>
    <x v="1771"/>
    <x v="6"/>
  </r>
  <r>
    <x v="542"/>
    <x v="5"/>
    <x v="5"/>
    <x v="6"/>
    <x v="5"/>
    <x v="6"/>
    <x v="6"/>
    <x v="0"/>
    <x v="0"/>
    <x v="0"/>
    <x v="0"/>
    <x v="0"/>
    <x v="0"/>
    <x v="1749"/>
    <x v="1772"/>
    <x v="6"/>
  </r>
  <r>
    <x v="542"/>
    <x v="5"/>
    <x v="5"/>
    <x v="5"/>
    <x v="5"/>
    <x v="6"/>
    <x v="6"/>
    <x v="0"/>
    <x v="0"/>
    <x v="0"/>
    <x v="0"/>
    <x v="0"/>
    <x v="0"/>
    <x v="1750"/>
    <x v="1770"/>
    <x v="6"/>
  </r>
  <r>
    <x v="543"/>
    <x v="31"/>
    <x v="35"/>
    <x v="8"/>
    <x v="371"/>
    <x v="18"/>
    <x v="619"/>
    <x v="335"/>
    <x v="121"/>
    <x v="272"/>
    <x v="0"/>
    <x v="0"/>
    <x v="0"/>
    <x v="1751"/>
    <x v="1773"/>
    <x v="108"/>
  </r>
  <r>
    <x v="543"/>
    <x v="5"/>
    <x v="5"/>
    <x v="6"/>
    <x v="5"/>
    <x v="6"/>
    <x v="6"/>
    <x v="0"/>
    <x v="0"/>
    <x v="0"/>
    <x v="0"/>
    <x v="0"/>
    <x v="0"/>
    <x v="1752"/>
    <x v="1774"/>
    <x v="6"/>
  </r>
  <r>
    <x v="543"/>
    <x v="5"/>
    <x v="5"/>
    <x v="5"/>
    <x v="5"/>
    <x v="6"/>
    <x v="6"/>
    <x v="0"/>
    <x v="0"/>
    <x v="0"/>
    <x v="0"/>
    <x v="0"/>
    <x v="0"/>
    <x v="1753"/>
    <x v="1775"/>
    <x v="6"/>
  </r>
  <r>
    <x v="543"/>
    <x v="5"/>
    <x v="5"/>
    <x v="6"/>
    <x v="5"/>
    <x v="6"/>
    <x v="6"/>
    <x v="0"/>
    <x v="0"/>
    <x v="0"/>
    <x v="0"/>
    <x v="0"/>
    <x v="0"/>
    <x v="1754"/>
    <x v="1776"/>
    <x v="6"/>
  </r>
  <r>
    <x v="543"/>
    <x v="5"/>
    <x v="5"/>
    <x v="5"/>
    <x v="5"/>
    <x v="6"/>
    <x v="6"/>
    <x v="0"/>
    <x v="0"/>
    <x v="0"/>
    <x v="0"/>
    <x v="0"/>
    <x v="0"/>
    <x v="1755"/>
    <x v="1777"/>
    <x v="6"/>
  </r>
  <r>
    <x v="544"/>
    <x v="31"/>
    <x v="35"/>
    <x v="16"/>
    <x v="5"/>
    <x v="6"/>
    <x v="6"/>
    <x v="0"/>
    <x v="0"/>
    <x v="0"/>
    <x v="0"/>
    <x v="0"/>
    <x v="0"/>
    <x v="1756"/>
    <x v="1778"/>
    <x v="6"/>
  </r>
  <r>
    <x v="545"/>
    <x v="31"/>
    <x v="35"/>
    <x v="8"/>
    <x v="508"/>
    <x v="18"/>
    <x v="620"/>
    <x v="159"/>
    <x v="189"/>
    <x v="273"/>
    <x v="0"/>
    <x v="0"/>
    <x v="0"/>
    <x v="1757"/>
    <x v="1779"/>
    <x v="107"/>
  </r>
  <r>
    <x v="545"/>
    <x v="5"/>
    <x v="5"/>
    <x v="6"/>
    <x v="5"/>
    <x v="6"/>
    <x v="6"/>
    <x v="0"/>
    <x v="0"/>
    <x v="0"/>
    <x v="0"/>
    <x v="0"/>
    <x v="0"/>
    <x v="1758"/>
    <x v="1780"/>
    <x v="6"/>
  </r>
  <r>
    <x v="545"/>
    <x v="5"/>
    <x v="5"/>
    <x v="5"/>
    <x v="5"/>
    <x v="6"/>
    <x v="6"/>
    <x v="0"/>
    <x v="0"/>
    <x v="0"/>
    <x v="0"/>
    <x v="0"/>
    <x v="0"/>
    <x v="1759"/>
    <x v="1781"/>
    <x v="6"/>
  </r>
  <r>
    <x v="545"/>
    <x v="5"/>
    <x v="5"/>
    <x v="6"/>
    <x v="5"/>
    <x v="6"/>
    <x v="6"/>
    <x v="0"/>
    <x v="0"/>
    <x v="0"/>
    <x v="0"/>
    <x v="0"/>
    <x v="0"/>
    <x v="1760"/>
    <x v="1782"/>
    <x v="6"/>
  </r>
  <r>
    <x v="545"/>
    <x v="5"/>
    <x v="5"/>
    <x v="5"/>
    <x v="5"/>
    <x v="6"/>
    <x v="6"/>
    <x v="0"/>
    <x v="0"/>
    <x v="0"/>
    <x v="0"/>
    <x v="0"/>
    <x v="0"/>
    <x v="1761"/>
    <x v="1783"/>
    <x v="6"/>
  </r>
  <r>
    <x v="546"/>
    <x v="31"/>
    <x v="35"/>
    <x v="16"/>
    <x v="5"/>
    <x v="6"/>
    <x v="6"/>
    <x v="0"/>
    <x v="0"/>
    <x v="0"/>
    <x v="0"/>
    <x v="0"/>
    <x v="0"/>
    <x v="1756"/>
    <x v="1784"/>
    <x v="6"/>
  </r>
  <r>
    <x v="546"/>
    <x v="31"/>
    <x v="35"/>
    <x v="8"/>
    <x v="337"/>
    <x v="8"/>
    <x v="540"/>
    <x v="2"/>
    <x v="366"/>
    <x v="274"/>
    <x v="0"/>
    <x v="0"/>
    <x v="0"/>
    <x v="1762"/>
    <x v="1785"/>
    <x v="111"/>
  </r>
  <r>
    <x v="546"/>
    <x v="5"/>
    <x v="5"/>
    <x v="6"/>
    <x v="5"/>
    <x v="6"/>
    <x v="6"/>
    <x v="0"/>
    <x v="0"/>
    <x v="0"/>
    <x v="0"/>
    <x v="0"/>
    <x v="0"/>
    <x v="1763"/>
    <x v="1786"/>
    <x v="6"/>
  </r>
  <r>
    <x v="546"/>
    <x v="5"/>
    <x v="5"/>
    <x v="5"/>
    <x v="5"/>
    <x v="6"/>
    <x v="6"/>
    <x v="0"/>
    <x v="0"/>
    <x v="0"/>
    <x v="0"/>
    <x v="0"/>
    <x v="0"/>
    <x v="1764"/>
    <x v="1787"/>
    <x v="6"/>
  </r>
  <r>
    <x v="546"/>
    <x v="5"/>
    <x v="5"/>
    <x v="6"/>
    <x v="5"/>
    <x v="6"/>
    <x v="6"/>
    <x v="0"/>
    <x v="0"/>
    <x v="0"/>
    <x v="0"/>
    <x v="0"/>
    <x v="0"/>
    <x v="1765"/>
    <x v="1788"/>
    <x v="6"/>
  </r>
  <r>
    <x v="546"/>
    <x v="5"/>
    <x v="5"/>
    <x v="5"/>
    <x v="5"/>
    <x v="6"/>
    <x v="6"/>
    <x v="0"/>
    <x v="0"/>
    <x v="0"/>
    <x v="0"/>
    <x v="0"/>
    <x v="0"/>
    <x v="1766"/>
    <x v="1789"/>
    <x v="6"/>
  </r>
  <r>
    <x v="547"/>
    <x v="31"/>
    <x v="35"/>
    <x v="16"/>
    <x v="5"/>
    <x v="6"/>
    <x v="6"/>
    <x v="0"/>
    <x v="0"/>
    <x v="0"/>
    <x v="0"/>
    <x v="0"/>
    <x v="0"/>
    <x v="1767"/>
    <x v="1790"/>
    <x v="6"/>
  </r>
  <r>
    <x v="548"/>
    <x v="25"/>
    <x v="28"/>
    <x v="4"/>
    <x v="564"/>
    <x v="31"/>
    <x v="621"/>
    <x v="2"/>
    <x v="377"/>
    <x v="275"/>
    <x v="0"/>
    <x v="0"/>
    <x v="0"/>
    <x v="1768"/>
    <x v="1791"/>
    <x v="50"/>
  </r>
  <r>
    <x v="548"/>
    <x v="5"/>
    <x v="5"/>
    <x v="6"/>
    <x v="5"/>
    <x v="6"/>
    <x v="6"/>
    <x v="0"/>
    <x v="0"/>
    <x v="0"/>
    <x v="0"/>
    <x v="0"/>
    <x v="0"/>
    <x v="1769"/>
    <x v="1792"/>
    <x v="6"/>
  </r>
  <r>
    <x v="548"/>
    <x v="5"/>
    <x v="5"/>
    <x v="5"/>
    <x v="5"/>
    <x v="6"/>
    <x v="6"/>
    <x v="0"/>
    <x v="0"/>
    <x v="0"/>
    <x v="0"/>
    <x v="0"/>
    <x v="0"/>
    <x v="1770"/>
    <x v="1793"/>
    <x v="6"/>
  </r>
  <r>
    <x v="548"/>
    <x v="5"/>
    <x v="5"/>
    <x v="6"/>
    <x v="5"/>
    <x v="6"/>
    <x v="6"/>
    <x v="0"/>
    <x v="0"/>
    <x v="0"/>
    <x v="0"/>
    <x v="0"/>
    <x v="0"/>
    <x v="1771"/>
    <x v="1794"/>
    <x v="6"/>
  </r>
  <r>
    <x v="548"/>
    <x v="5"/>
    <x v="5"/>
    <x v="5"/>
    <x v="5"/>
    <x v="6"/>
    <x v="6"/>
    <x v="0"/>
    <x v="0"/>
    <x v="0"/>
    <x v="0"/>
    <x v="0"/>
    <x v="0"/>
    <x v="1772"/>
    <x v="1795"/>
    <x v="6"/>
  </r>
  <r>
    <x v="549"/>
    <x v="31"/>
    <x v="35"/>
    <x v="1"/>
    <x v="440"/>
    <x v="8"/>
    <x v="622"/>
    <x v="2"/>
    <x v="224"/>
    <x v="0"/>
    <x v="0"/>
    <x v="0"/>
    <x v="0"/>
    <x v="1773"/>
    <x v="1796"/>
    <x v="107"/>
  </r>
  <r>
    <x v="549"/>
    <x v="5"/>
    <x v="5"/>
    <x v="2"/>
    <x v="5"/>
    <x v="6"/>
    <x v="6"/>
    <x v="0"/>
    <x v="0"/>
    <x v="0"/>
    <x v="0"/>
    <x v="0"/>
    <x v="0"/>
    <x v="1774"/>
    <x v="1795"/>
    <x v="6"/>
  </r>
  <r>
    <x v="550"/>
    <x v="35"/>
    <x v="39"/>
    <x v="14"/>
    <x v="5"/>
    <x v="64"/>
    <x v="623"/>
    <x v="0"/>
    <x v="0"/>
    <x v="0"/>
    <x v="0"/>
    <x v="0"/>
    <x v="0"/>
    <x v="1775"/>
    <x v="1797"/>
    <x v="6"/>
  </r>
  <r>
    <x v="550"/>
    <x v="6"/>
    <x v="6"/>
    <x v="1"/>
    <x v="565"/>
    <x v="7"/>
    <x v="389"/>
    <x v="2"/>
    <x v="51"/>
    <x v="0"/>
    <x v="41"/>
    <x v="0"/>
    <x v="0"/>
    <x v="1776"/>
    <x v="1798"/>
    <x v="10"/>
  </r>
  <r>
    <x v="550"/>
    <x v="5"/>
    <x v="5"/>
    <x v="2"/>
    <x v="5"/>
    <x v="6"/>
    <x v="6"/>
    <x v="0"/>
    <x v="0"/>
    <x v="0"/>
    <x v="0"/>
    <x v="0"/>
    <x v="0"/>
    <x v="1777"/>
    <x v="1797"/>
    <x v="6"/>
  </r>
  <r>
    <x v="551"/>
    <x v="5"/>
    <x v="5"/>
    <x v="13"/>
    <x v="5"/>
    <x v="6"/>
    <x v="6"/>
    <x v="0"/>
    <x v="0"/>
    <x v="0"/>
    <x v="0"/>
    <x v="0"/>
    <x v="0"/>
    <x v="1778"/>
    <x v="1799"/>
    <x v="6"/>
  </r>
  <r>
    <x v="551"/>
    <x v="5"/>
    <x v="5"/>
    <x v="6"/>
    <x v="5"/>
    <x v="6"/>
    <x v="6"/>
    <x v="0"/>
    <x v="0"/>
    <x v="0"/>
    <x v="0"/>
    <x v="0"/>
    <x v="0"/>
    <x v="1779"/>
    <x v="1800"/>
    <x v="6"/>
  </r>
  <r>
    <x v="551"/>
    <x v="5"/>
    <x v="5"/>
    <x v="5"/>
    <x v="5"/>
    <x v="6"/>
    <x v="6"/>
    <x v="0"/>
    <x v="0"/>
    <x v="0"/>
    <x v="0"/>
    <x v="0"/>
    <x v="0"/>
    <x v="1780"/>
    <x v="1801"/>
    <x v="6"/>
  </r>
  <r>
    <x v="551"/>
    <x v="5"/>
    <x v="5"/>
    <x v="6"/>
    <x v="5"/>
    <x v="6"/>
    <x v="6"/>
    <x v="0"/>
    <x v="0"/>
    <x v="0"/>
    <x v="0"/>
    <x v="0"/>
    <x v="0"/>
    <x v="1781"/>
    <x v="1802"/>
    <x v="6"/>
  </r>
  <r>
    <x v="551"/>
    <x v="5"/>
    <x v="5"/>
    <x v="21"/>
    <x v="5"/>
    <x v="6"/>
    <x v="6"/>
    <x v="0"/>
    <x v="0"/>
    <x v="0"/>
    <x v="0"/>
    <x v="0"/>
    <x v="0"/>
    <x v="1782"/>
    <x v="1770"/>
    <x v="6"/>
  </r>
  <r>
    <x v="552"/>
    <x v="31"/>
    <x v="35"/>
    <x v="8"/>
    <x v="549"/>
    <x v="8"/>
    <x v="597"/>
    <x v="2"/>
    <x v="366"/>
    <x v="262"/>
    <x v="0"/>
    <x v="0"/>
    <x v="0"/>
    <x v="1783"/>
    <x v="1803"/>
    <x v="111"/>
  </r>
  <r>
    <x v="552"/>
    <x v="31"/>
    <x v="35"/>
    <x v="8"/>
    <x v="566"/>
    <x v="8"/>
    <x v="624"/>
    <x v="2"/>
    <x v="366"/>
    <x v="276"/>
    <x v="0"/>
    <x v="0"/>
    <x v="0"/>
    <x v="1784"/>
    <x v="1804"/>
    <x v="89"/>
  </r>
  <r>
    <x v="552"/>
    <x v="5"/>
    <x v="5"/>
    <x v="6"/>
    <x v="5"/>
    <x v="6"/>
    <x v="6"/>
    <x v="0"/>
    <x v="0"/>
    <x v="0"/>
    <x v="0"/>
    <x v="0"/>
    <x v="0"/>
    <x v="1785"/>
    <x v="1805"/>
    <x v="6"/>
  </r>
  <r>
    <x v="552"/>
    <x v="5"/>
    <x v="5"/>
    <x v="5"/>
    <x v="5"/>
    <x v="6"/>
    <x v="6"/>
    <x v="0"/>
    <x v="0"/>
    <x v="0"/>
    <x v="0"/>
    <x v="0"/>
    <x v="0"/>
    <x v="1786"/>
    <x v="1806"/>
    <x v="6"/>
  </r>
  <r>
    <x v="552"/>
    <x v="5"/>
    <x v="5"/>
    <x v="5"/>
    <x v="5"/>
    <x v="6"/>
    <x v="6"/>
    <x v="0"/>
    <x v="0"/>
    <x v="0"/>
    <x v="0"/>
    <x v="0"/>
    <x v="0"/>
    <x v="1787"/>
    <x v="1807"/>
    <x v="6"/>
  </r>
  <r>
    <x v="552"/>
    <x v="5"/>
    <x v="5"/>
    <x v="21"/>
    <x v="5"/>
    <x v="6"/>
    <x v="6"/>
    <x v="0"/>
    <x v="0"/>
    <x v="0"/>
    <x v="0"/>
    <x v="0"/>
    <x v="0"/>
    <x v="1788"/>
    <x v="1808"/>
    <x v="6"/>
  </r>
  <r>
    <x v="552"/>
    <x v="5"/>
    <x v="5"/>
    <x v="6"/>
    <x v="5"/>
    <x v="6"/>
    <x v="6"/>
    <x v="0"/>
    <x v="0"/>
    <x v="0"/>
    <x v="0"/>
    <x v="0"/>
    <x v="0"/>
    <x v="1789"/>
    <x v="1809"/>
    <x v="6"/>
  </r>
  <r>
    <x v="552"/>
    <x v="5"/>
    <x v="5"/>
    <x v="5"/>
    <x v="5"/>
    <x v="6"/>
    <x v="6"/>
    <x v="0"/>
    <x v="0"/>
    <x v="0"/>
    <x v="0"/>
    <x v="0"/>
    <x v="0"/>
    <x v="1790"/>
    <x v="1810"/>
    <x v="6"/>
  </r>
  <r>
    <x v="553"/>
    <x v="31"/>
    <x v="35"/>
    <x v="16"/>
    <x v="5"/>
    <x v="6"/>
    <x v="6"/>
    <x v="0"/>
    <x v="0"/>
    <x v="0"/>
    <x v="0"/>
    <x v="0"/>
    <x v="0"/>
    <x v="1791"/>
    <x v="1811"/>
    <x v="6"/>
  </r>
  <r>
    <x v="554"/>
    <x v="6"/>
    <x v="6"/>
    <x v="8"/>
    <x v="567"/>
    <x v="7"/>
    <x v="625"/>
    <x v="2"/>
    <x v="51"/>
    <x v="277"/>
    <x v="41"/>
    <x v="0"/>
    <x v="0"/>
    <x v="1792"/>
    <x v="1812"/>
    <x v="6"/>
  </r>
  <r>
    <x v="554"/>
    <x v="5"/>
    <x v="5"/>
    <x v="21"/>
    <x v="5"/>
    <x v="6"/>
    <x v="6"/>
    <x v="0"/>
    <x v="0"/>
    <x v="0"/>
    <x v="0"/>
    <x v="0"/>
    <x v="0"/>
    <x v="1793"/>
    <x v="1813"/>
    <x v="6"/>
  </r>
  <r>
    <x v="554"/>
    <x v="5"/>
    <x v="5"/>
    <x v="6"/>
    <x v="5"/>
    <x v="6"/>
    <x v="6"/>
    <x v="0"/>
    <x v="0"/>
    <x v="0"/>
    <x v="0"/>
    <x v="0"/>
    <x v="0"/>
    <x v="1794"/>
    <x v="1814"/>
    <x v="6"/>
  </r>
  <r>
    <x v="554"/>
    <x v="5"/>
    <x v="5"/>
    <x v="5"/>
    <x v="5"/>
    <x v="6"/>
    <x v="6"/>
    <x v="0"/>
    <x v="0"/>
    <x v="0"/>
    <x v="0"/>
    <x v="0"/>
    <x v="0"/>
    <x v="1795"/>
    <x v="1815"/>
    <x v="6"/>
  </r>
  <r>
    <x v="554"/>
    <x v="5"/>
    <x v="5"/>
    <x v="6"/>
    <x v="5"/>
    <x v="6"/>
    <x v="6"/>
    <x v="0"/>
    <x v="0"/>
    <x v="0"/>
    <x v="0"/>
    <x v="0"/>
    <x v="0"/>
    <x v="1796"/>
    <x v="1816"/>
    <x v="6"/>
  </r>
  <r>
    <x v="554"/>
    <x v="5"/>
    <x v="5"/>
    <x v="5"/>
    <x v="5"/>
    <x v="6"/>
    <x v="6"/>
    <x v="0"/>
    <x v="0"/>
    <x v="0"/>
    <x v="0"/>
    <x v="0"/>
    <x v="0"/>
    <x v="1797"/>
    <x v="1817"/>
    <x v="6"/>
  </r>
  <r>
    <x v="555"/>
    <x v="31"/>
    <x v="35"/>
    <x v="1"/>
    <x v="568"/>
    <x v="8"/>
    <x v="626"/>
    <x v="2"/>
    <x v="224"/>
    <x v="0"/>
    <x v="0"/>
    <x v="0"/>
    <x v="0"/>
    <x v="1798"/>
    <x v="1818"/>
    <x v="111"/>
  </r>
  <r>
    <x v="555"/>
    <x v="5"/>
    <x v="5"/>
    <x v="2"/>
    <x v="5"/>
    <x v="6"/>
    <x v="6"/>
    <x v="0"/>
    <x v="0"/>
    <x v="0"/>
    <x v="0"/>
    <x v="0"/>
    <x v="0"/>
    <x v="1799"/>
    <x v="1817"/>
    <x v="6"/>
  </r>
  <r>
    <x v="556"/>
    <x v="31"/>
    <x v="35"/>
    <x v="8"/>
    <x v="569"/>
    <x v="8"/>
    <x v="310"/>
    <x v="2"/>
    <x v="176"/>
    <x v="132"/>
    <x v="0"/>
    <x v="0"/>
    <x v="0"/>
    <x v="1800"/>
    <x v="1819"/>
    <x v="89"/>
  </r>
  <r>
    <x v="556"/>
    <x v="5"/>
    <x v="5"/>
    <x v="21"/>
    <x v="5"/>
    <x v="6"/>
    <x v="6"/>
    <x v="0"/>
    <x v="0"/>
    <x v="0"/>
    <x v="0"/>
    <x v="0"/>
    <x v="0"/>
    <x v="1801"/>
    <x v="1820"/>
    <x v="6"/>
  </r>
  <r>
    <x v="556"/>
    <x v="5"/>
    <x v="5"/>
    <x v="6"/>
    <x v="5"/>
    <x v="6"/>
    <x v="6"/>
    <x v="0"/>
    <x v="0"/>
    <x v="0"/>
    <x v="0"/>
    <x v="0"/>
    <x v="0"/>
    <x v="1802"/>
    <x v="1821"/>
    <x v="6"/>
  </r>
  <r>
    <x v="556"/>
    <x v="5"/>
    <x v="5"/>
    <x v="5"/>
    <x v="5"/>
    <x v="6"/>
    <x v="6"/>
    <x v="0"/>
    <x v="0"/>
    <x v="0"/>
    <x v="0"/>
    <x v="0"/>
    <x v="0"/>
    <x v="1803"/>
    <x v="1822"/>
    <x v="6"/>
  </r>
  <r>
    <x v="556"/>
    <x v="5"/>
    <x v="5"/>
    <x v="6"/>
    <x v="5"/>
    <x v="6"/>
    <x v="6"/>
    <x v="0"/>
    <x v="0"/>
    <x v="0"/>
    <x v="0"/>
    <x v="0"/>
    <x v="0"/>
    <x v="1804"/>
    <x v="1823"/>
    <x v="6"/>
  </r>
  <r>
    <x v="556"/>
    <x v="5"/>
    <x v="5"/>
    <x v="5"/>
    <x v="5"/>
    <x v="6"/>
    <x v="6"/>
    <x v="0"/>
    <x v="0"/>
    <x v="0"/>
    <x v="0"/>
    <x v="0"/>
    <x v="0"/>
    <x v="1805"/>
    <x v="1824"/>
    <x v="6"/>
  </r>
  <r>
    <x v="557"/>
    <x v="31"/>
    <x v="35"/>
    <x v="16"/>
    <x v="5"/>
    <x v="6"/>
    <x v="6"/>
    <x v="0"/>
    <x v="0"/>
    <x v="0"/>
    <x v="0"/>
    <x v="0"/>
    <x v="0"/>
    <x v="1767"/>
    <x v="1825"/>
    <x v="6"/>
  </r>
  <r>
    <x v="558"/>
    <x v="31"/>
    <x v="35"/>
    <x v="8"/>
    <x v="492"/>
    <x v="8"/>
    <x v="315"/>
    <x v="2"/>
    <x v="378"/>
    <x v="137"/>
    <x v="0"/>
    <x v="0"/>
    <x v="0"/>
    <x v="1806"/>
    <x v="1826"/>
    <x v="112"/>
  </r>
  <r>
    <x v="558"/>
    <x v="31"/>
    <x v="35"/>
    <x v="1"/>
    <x v="570"/>
    <x v="8"/>
    <x v="586"/>
    <x v="2"/>
    <x v="366"/>
    <x v="0"/>
    <x v="0"/>
    <x v="0"/>
    <x v="0"/>
    <x v="1807"/>
    <x v="1827"/>
    <x v="89"/>
  </r>
  <r>
    <x v="558"/>
    <x v="31"/>
    <x v="35"/>
    <x v="8"/>
    <x v="571"/>
    <x v="8"/>
    <x v="627"/>
    <x v="2"/>
    <x v="178"/>
    <x v="278"/>
    <x v="0"/>
    <x v="0"/>
    <x v="0"/>
    <x v="1808"/>
    <x v="1828"/>
    <x v="112"/>
  </r>
  <r>
    <x v="558"/>
    <x v="5"/>
    <x v="5"/>
    <x v="2"/>
    <x v="5"/>
    <x v="6"/>
    <x v="6"/>
    <x v="0"/>
    <x v="0"/>
    <x v="0"/>
    <x v="0"/>
    <x v="0"/>
    <x v="0"/>
    <x v="1809"/>
    <x v="1829"/>
    <x v="6"/>
  </r>
  <r>
    <x v="558"/>
    <x v="5"/>
    <x v="5"/>
    <x v="21"/>
    <x v="5"/>
    <x v="6"/>
    <x v="6"/>
    <x v="0"/>
    <x v="0"/>
    <x v="0"/>
    <x v="0"/>
    <x v="0"/>
    <x v="0"/>
    <x v="1810"/>
    <x v="1830"/>
    <x v="6"/>
  </r>
  <r>
    <x v="558"/>
    <x v="5"/>
    <x v="5"/>
    <x v="6"/>
    <x v="5"/>
    <x v="6"/>
    <x v="6"/>
    <x v="0"/>
    <x v="0"/>
    <x v="0"/>
    <x v="0"/>
    <x v="0"/>
    <x v="0"/>
    <x v="1746"/>
    <x v="1831"/>
    <x v="6"/>
  </r>
  <r>
    <x v="558"/>
    <x v="5"/>
    <x v="5"/>
    <x v="5"/>
    <x v="5"/>
    <x v="6"/>
    <x v="6"/>
    <x v="0"/>
    <x v="0"/>
    <x v="0"/>
    <x v="0"/>
    <x v="0"/>
    <x v="0"/>
    <x v="1811"/>
    <x v="1832"/>
    <x v="6"/>
  </r>
  <r>
    <x v="558"/>
    <x v="5"/>
    <x v="5"/>
    <x v="5"/>
    <x v="5"/>
    <x v="6"/>
    <x v="6"/>
    <x v="0"/>
    <x v="0"/>
    <x v="0"/>
    <x v="0"/>
    <x v="0"/>
    <x v="0"/>
    <x v="1812"/>
    <x v="1833"/>
    <x v="6"/>
  </r>
  <r>
    <x v="558"/>
    <x v="5"/>
    <x v="5"/>
    <x v="6"/>
    <x v="5"/>
    <x v="6"/>
    <x v="6"/>
    <x v="0"/>
    <x v="0"/>
    <x v="0"/>
    <x v="0"/>
    <x v="0"/>
    <x v="0"/>
    <x v="1813"/>
    <x v="1834"/>
    <x v="6"/>
  </r>
  <r>
    <x v="558"/>
    <x v="5"/>
    <x v="5"/>
    <x v="5"/>
    <x v="5"/>
    <x v="6"/>
    <x v="6"/>
    <x v="0"/>
    <x v="0"/>
    <x v="0"/>
    <x v="0"/>
    <x v="0"/>
    <x v="0"/>
    <x v="1814"/>
    <x v="1835"/>
    <x v="6"/>
  </r>
  <r>
    <x v="559"/>
    <x v="31"/>
    <x v="35"/>
    <x v="16"/>
    <x v="5"/>
    <x v="6"/>
    <x v="6"/>
    <x v="0"/>
    <x v="0"/>
    <x v="0"/>
    <x v="0"/>
    <x v="0"/>
    <x v="0"/>
    <x v="1767"/>
    <x v="1836"/>
    <x v="6"/>
  </r>
  <r>
    <x v="559"/>
    <x v="31"/>
    <x v="35"/>
    <x v="1"/>
    <x v="572"/>
    <x v="8"/>
    <x v="327"/>
    <x v="2"/>
    <x v="176"/>
    <x v="0"/>
    <x v="0"/>
    <x v="0"/>
    <x v="0"/>
    <x v="1815"/>
    <x v="1837"/>
    <x v="89"/>
  </r>
  <r>
    <x v="559"/>
    <x v="5"/>
    <x v="5"/>
    <x v="2"/>
    <x v="5"/>
    <x v="6"/>
    <x v="6"/>
    <x v="0"/>
    <x v="0"/>
    <x v="0"/>
    <x v="0"/>
    <x v="0"/>
    <x v="0"/>
    <x v="1816"/>
    <x v="1836"/>
    <x v="6"/>
  </r>
  <r>
    <x v="560"/>
    <x v="31"/>
    <x v="35"/>
    <x v="8"/>
    <x v="573"/>
    <x v="8"/>
    <x v="628"/>
    <x v="2"/>
    <x v="184"/>
    <x v="279"/>
    <x v="0"/>
    <x v="0"/>
    <x v="0"/>
    <x v="1817"/>
    <x v="1838"/>
    <x v="112"/>
  </r>
  <r>
    <x v="560"/>
    <x v="5"/>
    <x v="5"/>
    <x v="5"/>
    <x v="5"/>
    <x v="6"/>
    <x v="6"/>
    <x v="0"/>
    <x v="0"/>
    <x v="0"/>
    <x v="0"/>
    <x v="0"/>
    <x v="0"/>
    <x v="1818"/>
    <x v="1839"/>
    <x v="6"/>
  </r>
  <r>
    <x v="560"/>
    <x v="5"/>
    <x v="5"/>
    <x v="21"/>
    <x v="5"/>
    <x v="6"/>
    <x v="6"/>
    <x v="0"/>
    <x v="0"/>
    <x v="0"/>
    <x v="0"/>
    <x v="0"/>
    <x v="0"/>
    <x v="1819"/>
    <x v="1840"/>
    <x v="6"/>
  </r>
  <r>
    <x v="560"/>
    <x v="5"/>
    <x v="5"/>
    <x v="6"/>
    <x v="5"/>
    <x v="6"/>
    <x v="6"/>
    <x v="0"/>
    <x v="0"/>
    <x v="0"/>
    <x v="0"/>
    <x v="0"/>
    <x v="0"/>
    <x v="1218"/>
    <x v="1841"/>
    <x v="6"/>
  </r>
  <r>
    <x v="560"/>
    <x v="5"/>
    <x v="5"/>
    <x v="5"/>
    <x v="5"/>
    <x v="6"/>
    <x v="6"/>
    <x v="0"/>
    <x v="0"/>
    <x v="0"/>
    <x v="0"/>
    <x v="0"/>
    <x v="0"/>
    <x v="1820"/>
    <x v="1842"/>
    <x v="6"/>
  </r>
  <r>
    <x v="560"/>
    <x v="5"/>
    <x v="5"/>
    <x v="6"/>
    <x v="5"/>
    <x v="6"/>
    <x v="6"/>
    <x v="0"/>
    <x v="0"/>
    <x v="0"/>
    <x v="0"/>
    <x v="0"/>
    <x v="0"/>
    <x v="1821"/>
    <x v="1843"/>
    <x v="6"/>
  </r>
  <r>
    <x v="560"/>
    <x v="5"/>
    <x v="5"/>
    <x v="5"/>
    <x v="5"/>
    <x v="6"/>
    <x v="6"/>
    <x v="0"/>
    <x v="0"/>
    <x v="0"/>
    <x v="0"/>
    <x v="0"/>
    <x v="0"/>
    <x v="1822"/>
    <x v="1844"/>
    <x v="6"/>
  </r>
  <r>
    <x v="561"/>
    <x v="31"/>
    <x v="35"/>
    <x v="16"/>
    <x v="5"/>
    <x v="6"/>
    <x v="6"/>
    <x v="0"/>
    <x v="0"/>
    <x v="0"/>
    <x v="0"/>
    <x v="0"/>
    <x v="0"/>
    <x v="1767"/>
    <x v="1845"/>
    <x v="6"/>
  </r>
  <r>
    <x v="561"/>
    <x v="31"/>
    <x v="35"/>
    <x v="1"/>
    <x v="574"/>
    <x v="8"/>
    <x v="629"/>
    <x v="2"/>
    <x v="366"/>
    <x v="0"/>
    <x v="0"/>
    <x v="0"/>
    <x v="0"/>
    <x v="1823"/>
    <x v="1846"/>
    <x v="89"/>
  </r>
  <r>
    <x v="561"/>
    <x v="31"/>
    <x v="35"/>
    <x v="1"/>
    <x v="575"/>
    <x v="8"/>
    <x v="564"/>
    <x v="2"/>
    <x v="176"/>
    <x v="0"/>
    <x v="0"/>
    <x v="0"/>
    <x v="0"/>
    <x v="1824"/>
    <x v="1847"/>
    <x v="111"/>
  </r>
  <r>
    <x v="561"/>
    <x v="5"/>
    <x v="5"/>
    <x v="2"/>
    <x v="5"/>
    <x v="6"/>
    <x v="6"/>
    <x v="0"/>
    <x v="0"/>
    <x v="0"/>
    <x v="0"/>
    <x v="0"/>
    <x v="0"/>
    <x v="1825"/>
    <x v="1848"/>
    <x v="6"/>
  </r>
  <r>
    <x v="561"/>
    <x v="5"/>
    <x v="5"/>
    <x v="2"/>
    <x v="5"/>
    <x v="6"/>
    <x v="6"/>
    <x v="0"/>
    <x v="0"/>
    <x v="0"/>
    <x v="0"/>
    <x v="0"/>
    <x v="0"/>
    <x v="1826"/>
    <x v="1845"/>
    <x v="6"/>
  </r>
  <r>
    <x v="562"/>
    <x v="31"/>
    <x v="35"/>
    <x v="1"/>
    <x v="525"/>
    <x v="8"/>
    <x v="587"/>
    <x v="2"/>
    <x v="379"/>
    <x v="0"/>
    <x v="0"/>
    <x v="0"/>
    <x v="0"/>
    <x v="1827"/>
    <x v="1849"/>
    <x v="107"/>
  </r>
  <r>
    <x v="562"/>
    <x v="5"/>
    <x v="5"/>
    <x v="2"/>
    <x v="5"/>
    <x v="6"/>
    <x v="6"/>
    <x v="0"/>
    <x v="0"/>
    <x v="0"/>
    <x v="0"/>
    <x v="0"/>
    <x v="0"/>
    <x v="1828"/>
    <x v="1845"/>
    <x v="6"/>
  </r>
  <r>
    <x v="563"/>
    <x v="31"/>
    <x v="35"/>
    <x v="1"/>
    <x v="562"/>
    <x v="8"/>
    <x v="630"/>
    <x v="2"/>
    <x v="253"/>
    <x v="0"/>
    <x v="0"/>
    <x v="0"/>
    <x v="0"/>
    <x v="1829"/>
    <x v="1850"/>
    <x v="113"/>
  </r>
  <r>
    <x v="563"/>
    <x v="5"/>
    <x v="5"/>
    <x v="2"/>
    <x v="5"/>
    <x v="6"/>
    <x v="6"/>
    <x v="0"/>
    <x v="0"/>
    <x v="0"/>
    <x v="0"/>
    <x v="0"/>
    <x v="0"/>
    <x v="1830"/>
    <x v="1845"/>
    <x v="6"/>
  </r>
  <r>
    <x v="564"/>
    <x v="31"/>
    <x v="35"/>
    <x v="8"/>
    <x v="502"/>
    <x v="8"/>
    <x v="39"/>
    <x v="2"/>
    <x v="240"/>
    <x v="18"/>
    <x v="0"/>
    <x v="0"/>
    <x v="0"/>
    <x v="1831"/>
    <x v="1851"/>
    <x v="107"/>
  </r>
  <r>
    <x v="564"/>
    <x v="5"/>
    <x v="5"/>
    <x v="21"/>
    <x v="5"/>
    <x v="6"/>
    <x v="6"/>
    <x v="0"/>
    <x v="0"/>
    <x v="0"/>
    <x v="0"/>
    <x v="0"/>
    <x v="0"/>
    <x v="210"/>
    <x v="1852"/>
    <x v="6"/>
  </r>
  <r>
    <x v="564"/>
    <x v="5"/>
    <x v="5"/>
    <x v="6"/>
    <x v="5"/>
    <x v="6"/>
    <x v="6"/>
    <x v="0"/>
    <x v="0"/>
    <x v="0"/>
    <x v="0"/>
    <x v="0"/>
    <x v="0"/>
    <x v="826"/>
    <x v="1853"/>
    <x v="6"/>
  </r>
  <r>
    <x v="564"/>
    <x v="5"/>
    <x v="5"/>
    <x v="5"/>
    <x v="5"/>
    <x v="6"/>
    <x v="6"/>
    <x v="0"/>
    <x v="0"/>
    <x v="0"/>
    <x v="0"/>
    <x v="0"/>
    <x v="0"/>
    <x v="1832"/>
    <x v="1854"/>
    <x v="6"/>
  </r>
  <r>
    <x v="564"/>
    <x v="5"/>
    <x v="5"/>
    <x v="6"/>
    <x v="5"/>
    <x v="6"/>
    <x v="6"/>
    <x v="0"/>
    <x v="0"/>
    <x v="0"/>
    <x v="0"/>
    <x v="0"/>
    <x v="0"/>
    <x v="1833"/>
    <x v="1855"/>
    <x v="6"/>
  </r>
  <r>
    <x v="564"/>
    <x v="5"/>
    <x v="5"/>
    <x v="5"/>
    <x v="5"/>
    <x v="6"/>
    <x v="6"/>
    <x v="0"/>
    <x v="0"/>
    <x v="0"/>
    <x v="0"/>
    <x v="0"/>
    <x v="0"/>
    <x v="1834"/>
    <x v="1856"/>
    <x v="6"/>
  </r>
  <r>
    <x v="564"/>
    <x v="5"/>
    <x v="5"/>
    <x v="21"/>
    <x v="5"/>
    <x v="6"/>
    <x v="6"/>
    <x v="0"/>
    <x v="0"/>
    <x v="0"/>
    <x v="0"/>
    <x v="0"/>
    <x v="0"/>
    <x v="1835"/>
    <x v="1857"/>
    <x v="6"/>
  </r>
  <r>
    <x v="564"/>
    <x v="5"/>
    <x v="5"/>
    <x v="6"/>
    <x v="5"/>
    <x v="6"/>
    <x v="6"/>
    <x v="0"/>
    <x v="0"/>
    <x v="0"/>
    <x v="0"/>
    <x v="0"/>
    <x v="0"/>
    <x v="1836"/>
    <x v="1858"/>
    <x v="6"/>
  </r>
  <r>
    <x v="564"/>
    <x v="5"/>
    <x v="5"/>
    <x v="6"/>
    <x v="5"/>
    <x v="6"/>
    <x v="6"/>
    <x v="0"/>
    <x v="0"/>
    <x v="0"/>
    <x v="0"/>
    <x v="0"/>
    <x v="0"/>
    <x v="1837"/>
    <x v="1770"/>
    <x v="6"/>
  </r>
  <r>
    <x v="565"/>
    <x v="31"/>
    <x v="35"/>
    <x v="8"/>
    <x v="536"/>
    <x v="8"/>
    <x v="582"/>
    <x v="2"/>
    <x v="369"/>
    <x v="256"/>
    <x v="0"/>
    <x v="0"/>
    <x v="0"/>
    <x v="1838"/>
    <x v="1859"/>
    <x v="111"/>
  </r>
  <r>
    <x v="565"/>
    <x v="31"/>
    <x v="35"/>
    <x v="8"/>
    <x v="576"/>
    <x v="8"/>
    <x v="631"/>
    <x v="2"/>
    <x v="366"/>
    <x v="280"/>
    <x v="0"/>
    <x v="0"/>
    <x v="0"/>
    <x v="1839"/>
    <x v="1860"/>
    <x v="89"/>
  </r>
  <r>
    <x v="565"/>
    <x v="5"/>
    <x v="5"/>
    <x v="21"/>
    <x v="5"/>
    <x v="6"/>
    <x v="6"/>
    <x v="0"/>
    <x v="0"/>
    <x v="0"/>
    <x v="0"/>
    <x v="0"/>
    <x v="0"/>
    <x v="1840"/>
    <x v="1861"/>
    <x v="6"/>
  </r>
  <r>
    <x v="565"/>
    <x v="5"/>
    <x v="5"/>
    <x v="6"/>
    <x v="5"/>
    <x v="6"/>
    <x v="6"/>
    <x v="0"/>
    <x v="0"/>
    <x v="0"/>
    <x v="0"/>
    <x v="0"/>
    <x v="0"/>
    <x v="1841"/>
    <x v="1862"/>
    <x v="6"/>
  </r>
  <r>
    <x v="565"/>
    <x v="5"/>
    <x v="5"/>
    <x v="5"/>
    <x v="5"/>
    <x v="6"/>
    <x v="6"/>
    <x v="0"/>
    <x v="0"/>
    <x v="0"/>
    <x v="0"/>
    <x v="0"/>
    <x v="0"/>
    <x v="1842"/>
    <x v="1863"/>
    <x v="6"/>
  </r>
  <r>
    <x v="565"/>
    <x v="5"/>
    <x v="5"/>
    <x v="6"/>
    <x v="5"/>
    <x v="6"/>
    <x v="6"/>
    <x v="0"/>
    <x v="0"/>
    <x v="0"/>
    <x v="0"/>
    <x v="0"/>
    <x v="0"/>
    <x v="1843"/>
    <x v="1864"/>
    <x v="6"/>
  </r>
  <r>
    <x v="565"/>
    <x v="5"/>
    <x v="5"/>
    <x v="5"/>
    <x v="5"/>
    <x v="6"/>
    <x v="6"/>
    <x v="0"/>
    <x v="0"/>
    <x v="0"/>
    <x v="0"/>
    <x v="0"/>
    <x v="0"/>
    <x v="1844"/>
    <x v="1865"/>
    <x v="6"/>
  </r>
  <r>
    <x v="565"/>
    <x v="5"/>
    <x v="5"/>
    <x v="5"/>
    <x v="5"/>
    <x v="6"/>
    <x v="6"/>
    <x v="0"/>
    <x v="0"/>
    <x v="0"/>
    <x v="0"/>
    <x v="0"/>
    <x v="0"/>
    <x v="1845"/>
    <x v="1866"/>
    <x v="6"/>
  </r>
  <r>
    <x v="565"/>
    <x v="5"/>
    <x v="5"/>
    <x v="6"/>
    <x v="5"/>
    <x v="6"/>
    <x v="6"/>
    <x v="0"/>
    <x v="0"/>
    <x v="0"/>
    <x v="0"/>
    <x v="0"/>
    <x v="0"/>
    <x v="1846"/>
    <x v="1867"/>
    <x v="6"/>
  </r>
  <r>
    <x v="565"/>
    <x v="5"/>
    <x v="5"/>
    <x v="5"/>
    <x v="5"/>
    <x v="6"/>
    <x v="6"/>
    <x v="0"/>
    <x v="0"/>
    <x v="0"/>
    <x v="0"/>
    <x v="0"/>
    <x v="0"/>
    <x v="1847"/>
    <x v="1868"/>
    <x v="6"/>
  </r>
  <r>
    <x v="566"/>
    <x v="31"/>
    <x v="35"/>
    <x v="16"/>
    <x v="5"/>
    <x v="6"/>
    <x v="6"/>
    <x v="0"/>
    <x v="0"/>
    <x v="0"/>
    <x v="0"/>
    <x v="0"/>
    <x v="0"/>
    <x v="1767"/>
    <x v="1869"/>
    <x v="6"/>
  </r>
  <r>
    <x v="567"/>
    <x v="31"/>
    <x v="35"/>
    <x v="1"/>
    <x v="577"/>
    <x v="8"/>
    <x v="632"/>
    <x v="2"/>
    <x v="369"/>
    <x v="0"/>
    <x v="0"/>
    <x v="0"/>
    <x v="0"/>
    <x v="1848"/>
    <x v="1870"/>
    <x v="111"/>
  </r>
  <r>
    <x v="567"/>
    <x v="5"/>
    <x v="5"/>
    <x v="2"/>
    <x v="5"/>
    <x v="6"/>
    <x v="6"/>
    <x v="0"/>
    <x v="0"/>
    <x v="0"/>
    <x v="0"/>
    <x v="0"/>
    <x v="0"/>
    <x v="1849"/>
    <x v="1869"/>
    <x v="6"/>
  </r>
  <r>
    <x v="568"/>
    <x v="31"/>
    <x v="35"/>
    <x v="1"/>
    <x v="522"/>
    <x v="8"/>
    <x v="566"/>
    <x v="2"/>
    <x v="240"/>
    <x v="0"/>
    <x v="0"/>
    <x v="0"/>
    <x v="0"/>
    <x v="1850"/>
    <x v="1871"/>
    <x v="107"/>
  </r>
  <r>
    <x v="568"/>
    <x v="5"/>
    <x v="5"/>
    <x v="2"/>
    <x v="5"/>
    <x v="6"/>
    <x v="6"/>
    <x v="0"/>
    <x v="0"/>
    <x v="0"/>
    <x v="0"/>
    <x v="0"/>
    <x v="0"/>
    <x v="1851"/>
    <x v="1869"/>
    <x v="6"/>
  </r>
  <r>
    <x v="569"/>
    <x v="31"/>
    <x v="35"/>
    <x v="1"/>
    <x v="578"/>
    <x v="8"/>
    <x v="633"/>
    <x v="2"/>
    <x v="181"/>
    <x v="0"/>
    <x v="0"/>
    <x v="0"/>
    <x v="0"/>
    <x v="1852"/>
    <x v="1872"/>
    <x v="113"/>
  </r>
  <r>
    <x v="569"/>
    <x v="5"/>
    <x v="5"/>
    <x v="2"/>
    <x v="5"/>
    <x v="6"/>
    <x v="6"/>
    <x v="0"/>
    <x v="0"/>
    <x v="0"/>
    <x v="0"/>
    <x v="0"/>
    <x v="0"/>
    <x v="1853"/>
    <x v="1869"/>
    <x v="6"/>
  </r>
  <r>
    <x v="570"/>
    <x v="31"/>
    <x v="35"/>
    <x v="1"/>
    <x v="509"/>
    <x v="18"/>
    <x v="634"/>
    <x v="336"/>
    <x v="233"/>
    <x v="0"/>
    <x v="0"/>
    <x v="0"/>
    <x v="0"/>
    <x v="1854"/>
    <x v="1873"/>
    <x v="114"/>
  </r>
  <r>
    <x v="570"/>
    <x v="5"/>
    <x v="5"/>
    <x v="2"/>
    <x v="5"/>
    <x v="6"/>
    <x v="6"/>
    <x v="0"/>
    <x v="0"/>
    <x v="0"/>
    <x v="0"/>
    <x v="0"/>
    <x v="0"/>
    <x v="1855"/>
    <x v="1869"/>
    <x v="6"/>
  </r>
  <r>
    <x v="571"/>
    <x v="5"/>
    <x v="5"/>
    <x v="21"/>
    <x v="5"/>
    <x v="6"/>
    <x v="6"/>
    <x v="0"/>
    <x v="0"/>
    <x v="0"/>
    <x v="0"/>
    <x v="0"/>
    <x v="0"/>
    <x v="1856"/>
    <x v="1874"/>
    <x v="6"/>
  </r>
  <r>
    <x v="571"/>
    <x v="5"/>
    <x v="5"/>
    <x v="6"/>
    <x v="5"/>
    <x v="6"/>
    <x v="6"/>
    <x v="0"/>
    <x v="0"/>
    <x v="0"/>
    <x v="0"/>
    <x v="0"/>
    <x v="0"/>
    <x v="1857"/>
    <x v="1770"/>
    <x v="6"/>
  </r>
  <r>
    <x v="572"/>
    <x v="31"/>
    <x v="35"/>
    <x v="8"/>
    <x v="450"/>
    <x v="18"/>
    <x v="635"/>
    <x v="156"/>
    <x v="198"/>
    <x v="281"/>
    <x v="0"/>
    <x v="0"/>
    <x v="0"/>
    <x v="1858"/>
    <x v="1875"/>
    <x v="113"/>
  </r>
  <r>
    <x v="572"/>
    <x v="31"/>
    <x v="35"/>
    <x v="1"/>
    <x v="507"/>
    <x v="18"/>
    <x v="550"/>
    <x v="64"/>
    <x v="264"/>
    <x v="0"/>
    <x v="0"/>
    <x v="0"/>
    <x v="0"/>
    <x v="1859"/>
    <x v="1876"/>
    <x v="114"/>
  </r>
  <r>
    <x v="572"/>
    <x v="5"/>
    <x v="5"/>
    <x v="2"/>
    <x v="5"/>
    <x v="6"/>
    <x v="6"/>
    <x v="0"/>
    <x v="0"/>
    <x v="0"/>
    <x v="0"/>
    <x v="0"/>
    <x v="0"/>
    <x v="1860"/>
    <x v="1875"/>
    <x v="6"/>
  </r>
  <r>
    <x v="572"/>
    <x v="5"/>
    <x v="5"/>
    <x v="21"/>
    <x v="5"/>
    <x v="6"/>
    <x v="6"/>
    <x v="0"/>
    <x v="0"/>
    <x v="0"/>
    <x v="0"/>
    <x v="0"/>
    <x v="0"/>
    <x v="1861"/>
    <x v="1877"/>
    <x v="6"/>
  </r>
  <r>
    <x v="572"/>
    <x v="5"/>
    <x v="5"/>
    <x v="6"/>
    <x v="5"/>
    <x v="6"/>
    <x v="6"/>
    <x v="0"/>
    <x v="0"/>
    <x v="0"/>
    <x v="0"/>
    <x v="0"/>
    <x v="0"/>
    <x v="1862"/>
    <x v="1878"/>
    <x v="6"/>
  </r>
  <r>
    <x v="572"/>
    <x v="5"/>
    <x v="5"/>
    <x v="5"/>
    <x v="5"/>
    <x v="6"/>
    <x v="6"/>
    <x v="0"/>
    <x v="0"/>
    <x v="0"/>
    <x v="0"/>
    <x v="0"/>
    <x v="0"/>
    <x v="1863"/>
    <x v="1879"/>
    <x v="6"/>
  </r>
  <r>
    <x v="572"/>
    <x v="5"/>
    <x v="5"/>
    <x v="6"/>
    <x v="5"/>
    <x v="6"/>
    <x v="6"/>
    <x v="0"/>
    <x v="0"/>
    <x v="0"/>
    <x v="0"/>
    <x v="0"/>
    <x v="0"/>
    <x v="1864"/>
    <x v="1880"/>
    <x v="6"/>
  </r>
  <r>
    <x v="572"/>
    <x v="5"/>
    <x v="5"/>
    <x v="5"/>
    <x v="5"/>
    <x v="6"/>
    <x v="6"/>
    <x v="0"/>
    <x v="0"/>
    <x v="0"/>
    <x v="0"/>
    <x v="0"/>
    <x v="0"/>
    <x v="1865"/>
    <x v="1881"/>
    <x v="6"/>
  </r>
  <r>
    <x v="573"/>
    <x v="31"/>
    <x v="35"/>
    <x v="16"/>
    <x v="5"/>
    <x v="6"/>
    <x v="6"/>
    <x v="0"/>
    <x v="0"/>
    <x v="0"/>
    <x v="0"/>
    <x v="0"/>
    <x v="0"/>
    <x v="1791"/>
    <x v="1882"/>
    <x v="6"/>
  </r>
  <r>
    <x v="574"/>
    <x v="31"/>
    <x v="35"/>
    <x v="8"/>
    <x v="553"/>
    <x v="8"/>
    <x v="636"/>
    <x v="2"/>
    <x v="240"/>
    <x v="282"/>
    <x v="0"/>
    <x v="0"/>
    <x v="0"/>
    <x v="1866"/>
    <x v="1883"/>
    <x v="108"/>
  </r>
  <r>
    <x v="574"/>
    <x v="31"/>
    <x v="35"/>
    <x v="8"/>
    <x v="579"/>
    <x v="18"/>
    <x v="637"/>
    <x v="194"/>
    <x v="131"/>
    <x v="283"/>
    <x v="0"/>
    <x v="0"/>
    <x v="0"/>
    <x v="1867"/>
    <x v="1884"/>
    <x v="107"/>
  </r>
  <r>
    <x v="574"/>
    <x v="5"/>
    <x v="5"/>
    <x v="5"/>
    <x v="5"/>
    <x v="6"/>
    <x v="6"/>
    <x v="0"/>
    <x v="0"/>
    <x v="0"/>
    <x v="0"/>
    <x v="0"/>
    <x v="0"/>
    <x v="1868"/>
    <x v="1885"/>
    <x v="6"/>
  </r>
  <r>
    <x v="574"/>
    <x v="5"/>
    <x v="5"/>
    <x v="6"/>
    <x v="5"/>
    <x v="6"/>
    <x v="6"/>
    <x v="0"/>
    <x v="0"/>
    <x v="0"/>
    <x v="0"/>
    <x v="0"/>
    <x v="0"/>
    <x v="1869"/>
    <x v="1886"/>
    <x v="6"/>
  </r>
  <r>
    <x v="574"/>
    <x v="5"/>
    <x v="5"/>
    <x v="5"/>
    <x v="5"/>
    <x v="6"/>
    <x v="6"/>
    <x v="0"/>
    <x v="0"/>
    <x v="0"/>
    <x v="0"/>
    <x v="0"/>
    <x v="0"/>
    <x v="1870"/>
    <x v="1887"/>
    <x v="6"/>
  </r>
  <r>
    <x v="574"/>
    <x v="5"/>
    <x v="5"/>
    <x v="21"/>
    <x v="5"/>
    <x v="6"/>
    <x v="6"/>
    <x v="0"/>
    <x v="0"/>
    <x v="0"/>
    <x v="0"/>
    <x v="0"/>
    <x v="0"/>
    <x v="1871"/>
    <x v="1888"/>
    <x v="6"/>
  </r>
  <r>
    <x v="574"/>
    <x v="5"/>
    <x v="5"/>
    <x v="6"/>
    <x v="5"/>
    <x v="6"/>
    <x v="6"/>
    <x v="0"/>
    <x v="0"/>
    <x v="0"/>
    <x v="0"/>
    <x v="0"/>
    <x v="0"/>
    <x v="1872"/>
    <x v="1889"/>
    <x v="6"/>
  </r>
  <r>
    <x v="574"/>
    <x v="5"/>
    <x v="5"/>
    <x v="5"/>
    <x v="5"/>
    <x v="6"/>
    <x v="6"/>
    <x v="0"/>
    <x v="0"/>
    <x v="0"/>
    <x v="0"/>
    <x v="0"/>
    <x v="0"/>
    <x v="1873"/>
    <x v="1890"/>
    <x v="6"/>
  </r>
  <r>
    <x v="574"/>
    <x v="5"/>
    <x v="5"/>
    <x v="6"/>
    <x v="5"/>
    <x v="6"/>
    <x v="6"/>
    <x v="0"/>
    <x v="0"/>
    <x v="0"/>
    <x v="0"/>
    <x v="0"/>
    <x v="0"/>
    <x v="1874"/>
    <x v="1891"/>
    <x v="6"/>
  </r>
  <r>
    <x v="574"/>
    <x v="5"/>
    <x v="5"/>
    <x v="5"/>
    <x v="5"/>
    <x v="6"/>
    <x v="6"/>
    <x v="0"/>
    <x v="0"/>
    <x v="0"/>
    <x v="0"/>
    <x v="0"/>
    <x v="0"/>
    <x v="1823"/>
    <x v="1892"/>
    <x v="6"/>
  </r>
  <r>
    <x v="574"/>
    <x v="5"/>
    <x v="5"/>
    <x v="6"/>
    <x v="5"/>
    <x v="6"/>
    <x v="6"/>
    <x v="0"/>
    <x v="0"/>
    <x v="0"/>
    <x v="0"/>
    <x v="0"/>
    <x v="0"/>
    <x v="1875"/>
    <x v="1893"/>
    <x v="6"/>
  </r>
  <r>
    <x v="574"/>
    <x v="5"/>
    <x v="5"/>
    <x v="5"/>
    <x v="5"/>
    <x v="6"/>
    <x v="6"/>
    <x v="0"/>
    <x v="0"/>
    <x v="0"/>
    <x v="0"/>
    <x v="0"/>
    <x v="0"/>
    <x v="1876"/>
    <x v="1894"/>
    <x v="6"/>
  </r>
  <r>
    <x v="575"/>
    <x v="31"/>
    <x v="35"/>
    <x v="16"/>
    <x v="5"/>
    <x v="6"/>
    <x v="6"/>
    <x v="0"/>
    <x v="0"/>
    <x v="0"/>
    <x v="0"/>
    <x v="0"/>
    <x v="0"/>
    <x v="1877"/>
    <x v="1895"/>
    <x v="6"/>
  </r>
  <r>
    <x v="576"/>
    <x v="31"/>
    <x v="35"/>
    <x v="8"/>
    <x v="379"/>
    <x v="8"/>
    <x v="606"/>
    <x v="2"/>
    <x v="369"/>
    <x v="267"/>
    <x v="0"/>
    <x v="0"/>
    <x v="0"/>
    <x v="1679"/>
    <x v="1896"/>
    <x v="111"/>
  </r>
  <r>
    <x v="576"/>
    <x v="31"/>
    <x v="35"/>
    <x v="8"/>
    <x v="546"/>
    <x v="8"/>
    <x v="594"/>
    <x v="2"/>
    <x v="366"/>
    <x v="261"/>
    <x v="0"/>
    <x v="0"/>
    <x v="0"/>
    <x v="1633"/>
    <x v="1897"/>
    <x v="89"/>
  </r>
  <r>
    <x v="576"/>
    <x v="5"/>
    <x v="5"/>
    <x v="6"/>
    <x v="5"/>
    <x v="6"/>
    <x v="6"/>
    <x v="0"/>
    <x v="0"/>
    <x v="0"/>
    <x v="0"/>
    <x v="0"/>
    <x v="0"/>
    <x v="1878"/>
    <x v="1898"/>
    <x v="6"/>
  </r>
  <r>
    <x v="576"/>
    <x v="5"/>
    <x v="5"/>
    <x v="5"/>
    <x v="5"/>
    <x v="6"/>
    <x v="6"/>
    <x v="0"/>
    <x v="0"/>
    <x v="0"/>
    <x v="0"/>
    <x v="0"/>
    <x v="0"/>
    <x v="1879"/>
    <x v="1899"/>
    <x v="6"/>
  </r>
  <r>
    <x v="576"/>
    <x v="5"/>
    <x v="5"/>
    <x v="6"/>
    <x v="5"/>
    <x v="6"/>
    <x v="6"/>
    <x v="0"/>
    <x v="0"/>
    <x v="0"/>
    <x v="0"/>
    <x v="0"/>
    <x v="0"/>
    <x v="1880"/>
    <x v="1900"/>
    <x v="6"/>
  </r>
  <r>
    <x v="576"/>
    <x v="5"/>
    <x v="5"/>
    <x v="5"/>
    <x v="5"/>
    <x v="6"/>
    <x v="6"/>
    <x v="0"/>
    <x v="0"/>
    <x v="0"/>
    <x v="0"/>
    <x v="0"/>
    <x v="0"/>
    <x v="1881"/>
    <x v="1901"/>
    <x v="6"/>
  </r>
  <r>
    <x v="576"/>
    <x v="5"/>
    <x v="5"/>
    <x v="5"/>
    <x v="5"/>
    <x v="6"/>
    <x v="6"/>
    <x v="0"/>
    <x v="0"/>
    <x v="0"/>
    <x v="0"/>
    <x v="0"/>
    <x v="0"/>
    <x v="1882"/>
    <x v="1902"/>
    <x v="6"/>
  </r>
  <r>
    <x v="576"/>
    <x v="5"/>
    <x v="5"/>
    <x v="6"/>
    <x v="5"/>
    <x v="6"/>
    <x v="6"/>
    <x v="0"/>
    <x v="0"/>
    <x v="0"/>
    <x v="0"/>
    <x v="0"/>
    <x v="0"/>
    <x v="1883"/>
    <x v="1903"/>
    <x v="6"/>
  </r>
  <r>
    <x v="576"/>
    <x v="5"/>
    <x v="5"/>
    <x v="5"/>
    <x v="5"/>
    <x v="6"/>
    <x v="6"/>
    <x v="0"/>
    <x v="0"/>
    <x v="0"/>
    <x v="0"/>
    <x v="0"/>
    <x v="0"/>
    <x v="1884"/>
    <x v="1904"/>
    <x v="6"/>
  </r>
  <r>
    <x v="577"/>
    <x v="31"/>
    <x v="35"/>
    <x v="8"/>
    <x v="580"/>
    <x v="8"/>
    <x v="638"/>
    <x v="2"/>
    <x v="380"/>
    <x v="284"/>
    <x v="0"/>
    <x v="0"/>
    <x v="0"/>
    <x v="1885"/>
    <x v="1905"/>
    <x v="112"/>
  </r>
  <r>
    <x v="577"/>
    <x v="5"/>
    <x v="5"/>
    <x v="6"/>
    <x v="5"/>
    <x v="6"/>
    <x v="6"/>
    <x v="0"/>
    <x v="0"/>
    <x v="0"/>
    <x v="0"/>
    <x v="0"/>
    <x v="0"/>
    <x v="1886"/>
    <x v="1906"/>
    <x v="6"/>
  </r>
  <r>
    <x v="577"/>
    <x v="5"/>
    <x v="5"/>
    <x v="5"/>
    <x v="5"/>
    <x v="6"/>
    <x v="6"/>
    <x v="0"/>
    <x v="0"/>
    <x v="0"/>
    <x v="0"/>
    <x v="0"/>
    <x v="0"/>
    <x v="1887"/>
    <x v="1907"/>
    <x v="6"/>
  </r>
  <r>
    <x v="577"/>
    <x v="5"/>
    <x v="5"/>
    <x v="6"/>
    <x v="5"/>
    <x v="6"/>
    <x v="6"/>
    <x v="0"/>
    <x v="0"/>
    <x v="0"/>
    <x v="0"/>
    <x v="0"/>
    <x v="0"/>
    <x v="1888"/>
    <x v="1908"/>
    <x v="6"/>
  </r>
  <r>
    <x v="577"/>
    <x v="5"/>
    <x v="5"/>
    <x v="5"/>
    <x v="5"/>
    <x v="6"/>
    <x v="6"/>
    <x v="0"/>
    <x v="0"/>
    <x v="0"/>
    <x v="0"/>
    <x v="0"/>
    <x v="0"/>
    <x v="1889"/>
    <x v="1909"/>
    <x v="6"/>
  </r>
  <r>
    <x v="578"/>
    <x v="5"/>
    <x v="5"/>
    <x v="13"/>
    <x v="5"/>
    <x v="6"/>
    <x v="6"/>
    <x v="0"/>
    <x v="0"/>
    <x v="0"/>
    <x v="0"/>
    <x v="0"/>
    <x v="0"/>
    <x v="1890"/>
    <x v="1910"/>
    <x v="6"/>
  </r>
  <r>
    <x v="578"/>
    <x v="5"/>
    <x v="5"/>
    <x v="6"/>
    <x v="5"/>
    <x v="6"/>
    <x v="6"/>
    <x v="0"/>
    <x v="0"/>
    <x v="0"/>
    <x v="0"/>
    <x v="0"/>
    <x v="0"/>
    <x v="1891"/>
    <x v="1911"/>
    <x v="6"/>
  </r>
  <r>
    <x v="578"/>
    <x v="5"/>
    <x v="5"/>
    <x v="6"/>
    <x v="5"/>
    <x v="6"/>
    <x v="6"/>
    <x v="0"/>
    <x v="0"/>
    <x v="0"/>
    <x v="0"/>
    <x v="0"/>
    <x v="0"/>
    <x v="1892"/>
    <x v="1912"/>
    <x v="6"/>
  </r>
  <r>
    <x v="578"/>
    <x v="5"/>
    <x v="5"/>
    <x v="6"/>
    <x v="5"/>
    <x v="6"/>
    <x v="6"/>
    <x v="0"/>
    <x v="0"/>
    <x v="0"/>
    <x v="0"/>
    <x v="0"/>
    <x v="0"/>
    <x v="1893"/>
    <x v="1770"/>
    <x v="6"/>
  </r>
  <r>
    <x v="579"/>
    <x v="31"/>
    <x v="35"/>
    <x v="8"/>
    <x v="581"/>
    <x v="8"/>
    <x v="639"/>
    <x v="2"/>
    <x v="303"/>
    <x v="285"/>
    <x v="0"/>
    <x v="0"/>
    <x v="0"/>
    <x v="1894"/>
    <x v="1913"/>
    <x v="115"/>
  </r>
  <r>
    <x v="579"/>
    <x v="5"/>
    <x v="5"/>
    <x v="6"/>
    <x v="5"/>
    <x v="6"/>
    <x v="6"/>
    <x v="0"/>
    <x v="0"/>
    <x v="0"/>
    <x v="0"/>
    <x v="0"/>
    <x v="0"/>
    <x v="1895"/>
    <x v="1914"/>
    <x v="6"/>
  </r>
  <r>
    <x v="579"/>
    <x v="5"/>
    <x v="5"/>
    <x v="5"/>
    <x v="5"/>
    <x v="6"/>
    <x v="6"/>
    <x v="0"/>
    <x v="0"/>
    <x v="0"/>
    <x v="0"/>
    <x v="0"/>
    <x v="0"/>
    <x v="1533"/>
    <x v="1915"/>
    <x v="6"/>
  </r>
  <r>
    <x v="579"/>
    <x v="5"/>
    <x v="5"/>
    <x v="6"/>
    <x v="5"/>
    <x v="6"/>
    <x v="6"/>
    <x v="0"/>
    <x v="0"/>
    <x v="0"/>
    <x v="0"/>
    <x v="0"/>
    <x v="0"/>
    <x v="1896"/>
    <x v="1916"/>
    <x v="6"/>
  </r>
  <r>
    <x v="579"/>
    <x v="5"/>
    <x v="5"/>
    <x v="5"/>
    <x v="5"/>
    <x v="6"/>
    <x v="6"/>
    <x v="0"/>
    <x v="0"/>
    <x v="0"/>
    <x v="0"/>
    <x v="0"/>
    <x v="0"/>
    <x v="1897"/>
    <x v="1917"/>
    <x v="6"/>
  </r>
  <r>
    <x v="580"/>
    <x v="31"/>
    <x v="35"/>
    <x v="8"/>
    <x v="582"/>
    <x v="8"/>
    <x v="640"/>
    <x v="337"/>
    <x v="381"/>
    <x v="286"/>
    <x v="0"/>
    <x v="0"/>
    <x v="0"/>
    <x v="1898"/>
    <x v="1918"/>
    <x v="64"/>
  </r>
  <r>
    <x v="580"/>
    <x v="5"/>
    <x v="5"/>
    <x v="6"/>
    <x v="5"/>
    <x v="6"/>
    <x v="6"/>
    <x v="0"/>
    <x v="0"/>
    <x v="0"/>
    <x v="0"/>
    <x v="0"/>
    <x v="0"/>
    <x v="1899"/>
    <x v="1919"/>
    <x v="6"/>
  </r>
  <r>
    <x v="580"/>
    <x v="5"/>
    <x v="5"/>
    <x v="5"/>
    <x v="5"/>
    <x v="6"/>
    <x v="6"/>
    <x v="0"/>
    <x v="0"/>
    <x v="0"/>
    <x v="0"/>
    <x v="0"/>
    <x v="0"/>
    <x v="1900"/>
    <x v="1920"/>
    <x v="6"/>
  </r>
  <r>
    <x v="580"/>
    <x v="5"/>
    <x v="5"/>
    <x v="6"/>
    <x v="5"/>
    <x v="6"/>
    <x v="6"/>
    <x v="0"/>
    <x v="0"/>
    <x v="0"/>
    <x v="0"/>
    <x v="0"/>
    <x v="0"/>
    <x v="1901"/>
    <x v="1921"/>
    <x v="6"/>
  </r>
  <r>
    <x v="580"/>
    <x v="5"/>
    <x v="5"/>
    <x v="5"/>
    <x v="5"/>
    <x v="6"/>
    <x v="6"/>
    <x v="0"/>
    <x v="0"/>
    <x v="0"/>
    <x v="0"/>
    <x v="0"/>
    <x v="0"/>
    <x v="1902"/>
    <x v="1922"/>
    <x v="6"/>
  </r>
  <r>
    <x v="581"/>
    <x v="40"/>
    <x v="46"/>
    <x v="1"/>
    <x v="583"/>
    <x v="66"/>
    <x v="641"/>
    <x v="312"/>
    <x v="268"/>
    <x v="0"/>
    <x v="0"/>
    <x v="0"/>
    <x v="0"/>
    <x v="1903"/>
    <x v="1923"/>
    <x v="99"/>
  </r>
  <r>
    <x v="581"/>
    <x v="5"/>
    <x v="5"/>
    <x v="2"/>
    <x v="5"/>
    <x v="6"/>
    <x v="6"/>
    <x v="0"/>
    <x v="0"/>
    <x v="0"/>
    <x v="0"/>
    <x v="0"/>
    <x v="0"/>
    <x v="1904"/>
    <x v="1922"/>
    <x v="6"/>
  </r>
  <r>
    <x v="582"/>
    <x v="40"/>
    <x v="46"/>
    <x v="8"/>
    <x v="584"/>
    <x v="53"/>
    <x v="642"/>
    <x v="2"/>
    <x v="211"/>
    <x v="0"/>
    <x v="0"/>
    <x v="0"/>
    <x v="0"/>
    <x v="1905"/>
    <x v="1924"/>
    <x v="59"/>
  </r>
  <r>
    <x v="582"/>
    <x v="5"/>
    <x v="5"/>
    <x v="6"/>
    <x v="5"/>
    <x v="6"/>
    <x v="6"/>
    <x v="0"/>
    <x v="0"/>
    <x v="0"/>
    <x v="0"/>
    <x v="0"/>
    <x v="0"/>
    <x v="1906"/>
    <x v="1925"/>
    <x v="6"/>
  </r>
  <r>
    <x v="582"/>
    <x v="5"/>
    <x v="5"/>
    <x v="5"/>
    <x v="5"/>
    <x v="6"/>
    <x v="6"/>
    <x v="0"/>
    <x v="0"/>
    <x v="0"/>
    <x v="0"/>
    <x v="0"/>
    <x v="0"/>
    <x v="1907"/>
    <x v="1926"/>
    <x v="6"/>
  </r>
  <r>
    <x v="582"/>
    <x v="5"/>
    <x v="5"/>
    <x v="6"/>
    <x v="5"/>
    <x v="6"/>
    <x v="6"/>
    <x v="0"/>
    <x v="0"/>
    <x v="0"/>
    <x v="0"/>
    <x v="0"/>
    <x v="0"/>
    <x v="1908"/>
    <x v="1927"/>
    <x v="6"/>
  </r>
  <r>
    <x v="582"/>
    <x v="5"/>
    <x v="5"/>
    <x v="5"/>
    <x v="5"/>
    <x v="6"/>
    <x v="6"/>
    <x v="0"/>
    <x v="0"/>
    <x v="0"/>
    <x v="0"/>
    <x v="0"/>
    <x v="0"/>
    <x v="1909"/>
    <x v="1928"/>
    <x v="6"/>
  </r>
  <r>
    <x v="583"/>
    <x v="40"/>
    <x v="46"/>
    <x v="1"/>
    <x v="585"/>
    <x v="53"/>
    <x v="643"/>
    <x v="2"/>
    <x v="191"/>
    <x v="0"/>
    <x v="0"/>
    <x v="0"/>
    <x v="0"/>
    <x v="1910"/>
    <x v="1929"/>
    <x v="99"/>
  </r>
  <r>
    <x v="583"/>
    <x v="5"/>
    <x v="5"/>
    <x v="2"/>
    <x v="5"/>
    <x v="6"/>
    <x v="6"/>
    <x v="0"/>
    <x v="0"/>
    <x v="0"/>
    <x v="0"/>
    <x v="0"/>
    <x v="0"/>
    <x v="1911"/>
    <x v="1928"/>
    <x v="6"/>
  </r>
  <r>
    <x v="583"/>
    <x v="5"/>
    <x v="5"/>
    <x v="24"/>
    <x v="5"/>
    <x v="6"/>
    <x v="6"/>
    <x v="0"/>
    <x v="0"/>
    <x v="0"/>
    <x v="0"/>
    <x v="0"/>
    <x v="0"/>
    <x v="911"/>
    <x v="1930"/>
    <x v="6"/>
  </r>
  <r>
    <x v="584"/>
    <x v="5"/>
    <x v="5"/>
    <x v="6"/>
    <x v="5"/>
    <x v="6"/>
    <x v="6"/>
    <x v="0"/>
    <x v="0"/>
    <x v="0"/>
    <x v="0"/>
    <x v="0"/>
    <x v="0"/>
    <x v="1912"/>
    <x v="1931"/>
    <x v="6"/>
  </r>
  <r>
    <x v="584"/>
    <x v="5"/>
    <x v="5"/>
    <x v="21"/>
    <x v="5"/>
    <x v="6"/>
    <x v="6"/>
    <x v="0"/>
    <x v="0"/>
    <x v="0"/>
    <x v="0"/>
    <x v="0"/>
    <x v="0"/>
    <x v="1913"/>
    <x v="1932"/>
    <x v="6"/>
  </r>
  <r>
    <x v="584"/>
    <x v="5"/>
    <x v="5"/>
    <x v="6"/>
    <x v="5"/>
    <x v="6"/>
    <x v="6"/>
    <x v="0"/>
    <x v="0"/>
    <x v="0"/>
    <x v="0"/>
    <x v="0"/>
    <x v="0"/>
    <x v="1914"/>
    <x v="1933"/>
    <x v="6"/>
  </r>
  <r>
    <x v="585"/>
    <x v="40"/>
    <x v="46"/>
    <x v="1"/>
    <x v="586"/>
    <x v="53"/>
    <x v="644"/>
    <x v="2"/>
    <x v="257"/>
    <x v="0"/>
    <x v="0"/>
    <x v="0"/>
    <x v="0"/>
    <x v="1915"/>
    <x v="1934"/>
    <x v="116"/>
  </r>
  <r>
    <x v="585"/>
    <x v="5"/>
    <x v="5"/>
    <x v="2"/>
    <x v="5"/>
    <x v="6"/>
    <x v="6"/>
    <x v="0"/>
    <x v="0"/>
    <x v="0"/>
    <x v="0"/>
    <x v="0"/>
    <x v="0"/>
    <x v="1916"/>
    <x v="1933"/>
    <x v="6"/>
  </r>
  <r>
    <x v="586"/>
    <x v="31"/>
    <x v="35"/>
    <x v="1"/>
    <x v="587"/>
    <x v="8"/>
    <x v="562"/>
    <x v="2"/>
    <x v="366"/>
    <x v="0"/>
    <x v="0"/>
    <x v="0"/>
    <x v="0"/>
    <x v="1917"/>
    <x v="1935"/>
    <x v="115"/>
  </r>
  <r>
    <x v="586"/>
    <x v="31"/>
    <x v="35"/>
    <x v="1"/>
    <x v="508"/>
    <x v="8"/>
    <x v="551"/>
    <x v="2"/>
    <x v="369"/>
    <x v="0"/>
    <x v="0"/>
    <x v="0"/>
    <x v="0"/>
    <x v="1918"/>
    <x v="1936"/>
    <x v="112"/>
  </r>
  <r>
    <x v="586"/>
    <x v="5"/>
    <x v="5"/>
    <x v="2"/>
    <x v="5"/>
    <x v="6"/>
    <x v="6"/>
    <x v="0"/>
    <x v="0"/>
    <x v="0"/>
    <x v="0"/>
    <x v="0"/>
    <x v="0"/>
    <x v="1919"/>
    <x v="1937"/>
    <x v="6"/>
  </r>
  <r>
    <x v="586"/>
    <x v="5"/>
    <x v="5"/>
    <x v="2"/>
    <x v="5"/>
    <x v="6"/>
    <x v="6"/>
    <x v="0"/>
    <x v="0"/>
    <x v="0"/>
    <x v="0"/>
    <x v="0"/>
    <x v="0"/>
    <x v="1920"/>
    <x v="1933"/>
    <x v="6"/>
  </r>
  <r>
    <x v="587"/>
    <x v="40"/>
    <x v="46"/>
    <x v="1"/>
    <x v="588"/>
    <x v="53"/>
    <x v="645"/>
    <x v="2"/>
    <x v="118"/>
    <x v="0"/>
    <x v="0"/>
    <x v="0"/>
    <x v="0"/>
    <x v="1921"/>
    <x v="1938"/>
    <x v="117"/>
  </r>
  <r>
    <x v="587"/>
    <x v="40"/>
    <x v="46"/>
    <x v="1"/>
    <x v="589"/>
    <x v="53"/>
    <x v="646"/>
    <x v="2"/>
    <x v="302"/>
    <x v="0"/>
    <x v="0"/>
    <x v="0"/>
    <x v="0"/>
    <x v="1922"/>
    <x v="1939"/>
    <x v="118"/>
  </r>
  <r>
    <x v="587"/>
    <x v="5"/>
    <x v="5"/>
    <x v="2"/>
    <x v="5"/>
    <x v="6"/>
    <x v="6"/>
    <x v="0"/>
    <x v="0"/>
    <x v="0"/>
    <x v="0"/>
    <x v="0"/>
    <x v="0"/>
    <x v="1923"/>
    <x v="1940"/>
    <x v="6"/>
  </r>
  <r>
    <x v="587"/>
    <x v="5"/>
    <x v="5"/>
    <x v="2"/>
    <x v="5"/>
    <x v="6"/>
    <x v="6"/>
    <x v="0"/>
    <x v="0"/>
    <x v="0"/>
    <x v="0"/>
    <x v="0"/>
    <x v="0"/>
    <x v="1924"/>
    <x v="1933"/>
    <x v="6"/>
  </r>
  <r>
    <x v="588"/>
    <x v="40"/>
    <x v="46"/>
    <x v="8"/>
    <x v="588"/>
    <x v="53"/>
    <x v="645"/>
    <x v="2"/>
    <x v="118"/>
    <x v="0"/>
    <x v="0"/>
    <x v="0"/>
    <x v="0"/>
    <x v="1925"/>
    <x v="1941"/>
    <x v="117"/>
  </r>
  <r>
    <x v="588"/>
    <x v="40"/>
    <x v="46"/>
    <x v="1"/>
    <x v="589"/>
    <x v="53"/>
    <x v="646"/>
    <x v="2"/>
    <x v="302"/>
    <x v="0"/>
    <x v="0"/>
    <x v="0"/>
    <x v="0"/>
    <x v="1922"/>
    <x v="1942"/>
    <x v="118"/>
  </r>
  <r>
    <x v="588"/>
    <x v="5"/>
    <x v="5"/>
    <x v="2"/>
    <x v="5"/>
    <x v="6"/>
    <x v="6"/>
    <x v="0"/>
    <x v="0"/>
    <x v="0"/>
    <x v="0"/>
    <x v="0"/>
    <x v="0"/>
    <x v="1924"/>
    <x v="1941"/>
    <x v="6"/>
  </r>
  <r>
    <x v="588"/>
    <x v="5"/>
    <x v="5"/>
    <x v="6"/>
    <x v="5"/>
    <x v="6"/>
    <x v="6"/>
    <x v="0"/>
    <x v="0"/>
    <x v="0"/>
    <x v="0"/>
    <x v="0"/>
    <x v="0"/>
    <x v="1926"/>
    <x v="1943"/>
    <x v="6"/>
  </r>
  <r>
    <x v="588"/>
    <x v="5"/>
    <x v="5"/>
    <x v="5"/>
    <x v="5"/>
    <x v="6"/>
    <x v="6"/>
    <x v="0"/>
    <x v="0"/>
    <x v="0"/>
    <x v="0"/>
    <x v="0"/>
    <x v="0"/>
    <x v="1927"/>
    <x v="1944"/>
    <x v="6"/>
  </r>
  <r>
    <x v="589"/>
    <x v="40"/>
    <x v="46"/>
    <x v="1"/>
    <x v="590"/>
    <x v="53"/>
    <x v="647"/>
    <x v="2"/>
    <x v="83"/>
    <x v="0"/>
    <x v="0"/>
    <x v="0"/>
    <x v="0"/>
    <x v="1928"/>
    <x v="1945"/>
    <x v="119"/>
  </r>
  <r>
    <x v="589"/>
    <x v="5"/>
    <x v="5"/>
    <x v="2"/>
    <x v="5"/>
    <x v="6"/>
    <x v="6"/>
    <x v="0"/>
    <x v="0"/>
    <x v="0"/>
    <x v="0"/>
    <x v="0"/>
    <x v="0"/>
    <x v="1929"/>
    <x v="1944"/>
    <x v="6"/>
  </r>
  <r>
    <x v="590"/>
    <x v="40"/>
    <x v="46"/>
    <x v="1"/>
    <x v="591"/>
    <x v="53"/>
    <x v="648"/>
    <x v="2"/>
    <x v="382"/>
    <x v="0"/>
    <x v="0"/>
    <x v="0"/>
    <x v="0"/>
    <x v="1930"/>
    <x v="1946"/>
    <x v="120"/>
  </r>
  <r>
    <x v="590"/>
    <x v="5"/>
    <x v="5"/>
    <x v="2"/>
    <x v="5"/>
    <x v="6"/>
    <x v="6"/>
    <x v="0"/>
    <x v="0"/>
    <x v="0"/>
    <x v="0"/>
    <x v="0"/>
    <x v="0"/>
    <x v="1931"/>
    <x v="1944"/>
    <x v="6"/>
  </r>
  <r>
    <x v="591"/>
    <x v="31"/>
    <x v="35"/>
    <x v="1"/>
    <x v="379"/>
    <x v="8"/>
    <x v="606"/>
    <x v="2"/>
    <x v="369"/>
    <x v="0"/>
    <x v="0"/>
    <x v="0"/>
    <x v="0"/>
    <x v="1932"/>
    <x v="1947"/>
    <x v="89"/>
  </r>
  <r>
    <x v="591"/>
    <x v="40"/>
    <x v="46"/>
    <x v="8"/>
    <x v="592"/>
    <x v="53"/>
    <x v="649"/>
    <x v="2"/>
    <x v="83"/>
    <x v="0"/>
    <x v="0"/>
    <x v="0"/>
    <x v="0"/>
    <x v="1933"/>
    <x v="1948"/>
    <x v="119"/>
  </r>
  <r>
    <x v="591"/>
    <x v="5"/>
    <x v="5"/>
    <x v="2"/>
    <x v="5"/>
    <x v="6"/>
    <x v="6"/>
    <x v="0"/>
    <x v="0"/>
    <x v="0"/>
    <x v="0"/>
    <x v="0"/>
    <x v="0"/>
    <x v="1934"/>
    <x v="1949"/>
    <x v="6"/>
  </r>
  <r>
    <x v="591"/>
    <x v="5"/>
    <x v="5"/>
    <x v="6"/>
    <x v="5"/>
    <x v="6"/>
    <x v="6"/>
    <x v="0"/>
    <x v="0"/>
    <x v="0"/>
    <x v="0"/>
    <x v="0"/>
    <x v="0"/>
    <x v="1935"/>
    <x v="1950"/>
    <x v="6"/>
  </r>
  <r>
    <x v="591"/>
    <x v="5"/>
    <x v="5"/>
    <x v="5"/>
    <x v="5"/>
    <x v="6"/>
    <x v="6"/>
    <x v="0"/>
    <x v="0"/>
    <x v="0"/>
    <x v="0"/>
    <x v="0"/>
    <x v="0"/>
    <x v="1936"/>
    <x v="1951"/>
    <x v="6"/>
  </r>
  <r>
    <x v="591"/>
    <x v="5"/>
    <x v="5"/>
    <x v="21"/>
    <x v="5"/>
    <x v="6"/>
    <x v="6"/>
    <x v="0"/>
    <x v="0"/>
    <x v="0"/>
    <x v="0"/>
    <x v="0"/>
    <x v="0"/>
    <x v="1937"/>
    <x v="1952"/>
    <x v="6"/>
  </r>
  <r>
    <x v="591"/>
    <x v="5"/>
    <x v="5"/>
    <x v="6"/>
    <x v="5"/>
    <x v="6"/>
    <x v="6"/>
    <x v="0"/>
    <x v="0"/>
    <x v="0"/>
    <x v="0"/>
    <x v="0"/>
    <x v="0"/>
    <x v="1938"/>
    <x v="1953"/>
    <x v="6"/>
  </r>
  <r>
    <x v="591"/>
    <x v="5"/>
    <x v="5"/>
    <x v="5"/>
    <x v="5"/>
    <x v="6"/>
    <x v="6"/>
    <x v="0"/>
    <x v="0"/>
    <x v="0"/>
    <x v="0"/>
    <x v="0"/>
    <x v="0"/>
    <x v="1939"/>
    <x v="1954"/>
    <x v="6"/>
  </r>
  <r>
    <x v="592"/>
    <x v="31"/>
    <x v="35"/>
    <x v="8"/>
    <x v="337"/>
    <x v="8"/>
    <x v="540"/>
    <x v="2"/>
    <x v="366"/>
    <x v="274"/>
    <x v="0"/>
    <x v="0"/>
    <x v="0"/>
    <x v="1762"/>
    <x v="1955"/>
    <x v="112"/>
  </r>
  <r>
    <x v="592"/>
    <x v="5"/>
    <x v="5"/>
    <x v="21"/>
    <x v="5"/>
    <x v="6"/>
    <x v="6"/>
    <x v="0"/>
    <x v="0"/>
    <x v="0"/>
    <x v="0"/>
    <x v="0"/>
    <x v="0"/>
    <x v="1940"/>
    <x v="1956"/>
    <x v="6"/>
  </r>
  <r>
    <x v="592"/>
    <x v="5"/>
    <x v="5"/>
    <x v="6"/>
    <x v="5"/>
    <x v="6"/>
    <x v="6"/>
    <x v="0"/>
    <x v="0"/>
    <x v="0"/>
    <x v="0"/>
    <x v="0"/>
    <x v="0"/>
    <x v="1941"/>
    <x v="1957"/>
    <x v="6"/>
  </r>
  <r>
    <x v="592"/>
    <x v="5"/>
    <x v="5"/>
    <x v="5"/>
    <x v="5"/>
    <x v="6"/>
    <x v="6"/>
    <x v="0"/>
    <x v="0"/>
    <x v="0"/>
    <x v="0"/>
    <x v="0"/>
    <x v="0"/>
    <x v="1942"/>
    <x v="1958"/>
    <x v="6"/>
  </r>
  <r>
    <x v="592"/>
    <x v="5"/>
    <x v="5"/>
    <x v="21"/>
    <x v="5"/>
    <x v="6"/>
    <x v="6"/>
    <x v="0"/>
    <x v="0"/>
    <x v="0"/>
    <x v="0"/>
    <x v="0"/>
    <x v="0"/>
    <x v="1940"/>
    <x v="1959"/>
    <x v="6"/>
  </r>
  <r>
    <x v="592"/>
    <x v="5"/>
    <x v="5"/>
    <x v="6"/>
    <x v="5"/>
    <x v="6"/>
    <x v="6"/>
    <x v="0"/>
    <x v="0"/>
    <x v="0"/>
    <x v="0"/>
    <x v="0"/>
    <x v="0"/>
    <x v="1943"/>
    <x v="1960"/>
    <x v="6"/>
  </r>
  <r>
    <x v="592"/>
    <x v="5"/>
    <x v="5"/>
    <x v="6"/>
    <x v="5"/>
    <x v="6"/>
    <x v="6"/>
    <x v="0"/>
    <x v="0"/>
    <x v="0"/>
    <x v="0"/>
    <x v="0"/>
    <x v="0"/>
    <x v="1944"/>
    <x v="1961"/>
    <x v="6"/>
  </r>
  <r>
    <x v="592"/>
    <x v="5"/>
    <x v="5"/>
    <x v="6"/>
    <x v="5"/>
    <x v="6"/>
    <x v="6"/>
    <x v="0"/>
    <x v="0"/>
    <x v="0"/>
    <x v="0"/>
    <x v="0"/>
    <x v="0"/>
    <x v="1945"/>
    <x v="1933"/>
    <x v="6"/>
  </r>
  <r>
    <x v="593"/>
    <x v="40"/>
    <x v="46"/>
    <x v="8"/>
    <x v="593"/>
    <x v="53"/>
    <x v="650"/>
    <x v="2"/>
    <x v="302"/>
    <x v="0"/>
    <x v="0"/>
    <x v="0"/>
    <x v="0"/>
    <x v="1946"/>
    <x v="1962"/>
    <x v="118"/>
  </r>
  <r>
    <x v="593"/>
    <x v="5"/>
    <x v="5"/>
    <x v="21"/>
    <x v="5"/>
    <x v="6"/>
    <x v="6"/>
    <x v="0"/>
    <x v="0"/>
    <x v="0"/>
    <x v="0"/>
    <x v="0"/>
    <x v="0"/>
    <x v="1947"/>
    <x v="1963"/>
    <x v="6"/>
  </r>
  <r>
    <x v="593"/>
    <x v="5"/>
    <x v="5"/>
    <x v="6"/>
    <x v="5"/>
    <x v="6"/>
    <x v="6"/>
    <x v="0"/>
    <x v="0"/>
    <x v="0"/>
    <x v="0"/>
    <x v="0"/>
    <x v="0"/>
    <x v="1948"/>
    <x v="1964"/>
    <x v="6"/>
  </r>
  <r>
    <x v="593"/>
    <x v="5"/>
    <x v="5"/>
    <x v="5"/>
    <x v="5"/>
    <x v="6"/>
    <x v="6"/>
    <x v="0"/>
    <x v="0"/>
    <x v="0"/>
    <x v="0"/>
    <x v="0"/>
    <x v="0"/>
    <x v="1949"/>
    <x v="1965"/>
    <x v="6"/>
  </r>
  <r>
    <x v="593"/>
    <x v="5"/>
    <x v="5"/>
    <x v="6"/>
    <x v="5"/>
    <x v="6"/>
    <x v="6"/>
    <x v="0"/>
    <x v="0"/>
    <x v="0"/>
    <x v="0"/>
    <x v="0"/>
    <x v="0"/>
    <x v="1950"/>
    <x v="1966"/>
    <x v="6"/>
  </r>
  <r>
    <x v="593"/>
    <x v="5"/>
    <x v="5"/>
    <x v="5"/>
    <x v="5"/>
    <x v="6"/>
    <x v="6"/>
    <x v="0"/>
    <x v="0"/>
    <x v="0"/>
    <x v="0"/>
    <x v="0"/>
    <x v="0"/>
    <x v="1951"/>
    <x v="1967"/>
    <x v="6"/>
  </r>
  <r>
    <x v="594"/>
    <x v="40"/>
    <x v="46"/>
    <x v="1"/>
    <x v="594"/>
    <x v="53"/>
    <x v="651"/>
    <x v="2"/>
    <x v="83"/>
    <x v="0"/>
    <x v="0"/>
    <x v="0"/>
    <x v="0"/>
    <x v="1952"/>
    <x v="1968"/>
    <x v="119"/>
  </r>
  <r>
    <x v="594"/>
    <x v="5"/>
    <x v="5"/>
    <x v="2"/>
    <x v="5"/>
    <x v="6"/>
    <x v="6"/>
    <x v="0"/>
    <x v="0"/>
    <x v="0"/>
    <x v="0"/>
    <x v="0"/>
    <x v="0"/>
    <x v="1953"/>
    <x v="1967"/>
    <x v="6"/>
  </r>
  <r>
    <x v="595"/>
    <x v="40"/>
    <x v="46"/>
    <x v="1"/>
    <x v="595"/>
    <x v="53"/>
    <x v="652"/>
    <x v="2"/>
    <x v="292"/>
    <x v="0"/>
    <x v="0"/>
    <x v="0"/>
    <x v="0"/>
    <x v="1954"/>
    <x v="1969"/>
    <x v="120"/>
  </r>
  <r>
    <x v="595"/>
    <x v="5"/>
    <x v="5"/>
    <x v="2"/>
    <x v="5"/>
    <x v="6"/>
    <x v="6"/>
    <x v="0"/>
    <x v="0"/>
    <x v="0"/>
    <x v="0"/>
    <x v="0"/>
    <x v="0"/>
    <x v="1955"/>
    <x v="1967"/>
    <x v="6"/>
  </r>
  <r>
    <x v="596"/>
    <x v="31"/>
    <x v="35"/>
    <x v="1"/>
    <x v="440"/>
    <x v="8"/>
    <x v="622"/>
    <x v="2"/>
    <x v="224"/>
    <x v="0"/>
    <x v="0"/>
    <x v="0"/>
    <x v="0"/>
    <x v="1773"/>
    <x v="1970"/>
    <x v="89"/>
  </r>
  <r>
    <x v="596"/>
    <x v="5"/>
    <x v="5"/>
    <x v="2"/>
    <x v="5"/>
    <x v="6"/>
    <x v="6"/>
    <x v="0"/>
    <x v="0"/>
    <x v="0"/>
    <x v="0"/>
    <x v="0"/>
    <x v="0"/>
    <x v="1774"/>
    <x v="1967"/>
    <x v="6"/>
  </r>
  <r>
    <x v="597"/>
    <x v="31"/>
    <x v="35"/>
    <x v="8"/>
    <x v="549"/>
    <x v="8"/>
    <x v="597"/>
    <x v="2"/>
    <x v="366"/>
    <x v="23"/>
    <x v="0"/>
    <x v="0"/>
    <x v="0"/>
    <x v="1956"/>
    <x v="1971"/>
    <x v="112"/>
  </r>
  <r>
    <x v="597"/>
    <x v="31"/>
    <x v="35"/>
    <x v="1"/>
    <x v="568"/>
    <x v="8"/>
    <x v="626"/>
    <x v="2"/>
    <x v="224"/>
    <x v="0"/>
    <x v="0"/>
    <x v="0"/>
    <x v="0"/>
    <x v="1798"/>
    <x v="1972"/>
    <x v="89"/>
  </r>
  <r>
    <x v="597"/>
    <x v="5"/>
    <x v="5"/>
    <x v="2"/>
    <x v="5"/>
    <x v="6"/>
    <x v="6"/>
    <x v="0"/>
    <x v="0"/>
    <x v="0"/>
    <x v="0"/>
    <x v="0"/>
    <x v="0"/>
    <x v="1799"/>
    <x v="1971"/>
    <x v="6"/>
  </r>
  <r>
    <x v="597"/>
    <x v="5"/>
    <x v="5"/>
    <x v="21"/>
    <x v="5"/>
    <x v="6"/>
    <x v="6"/>
    <x v="0"/>
    <x v="0"/>
    <x v="0"/>
    <x v="0"/>
    <x v="0"/>
    <x v="0"/>
    <x v="1957"/>
    <x v="1973"/>
    <x v="6"/>
  </r>
  <r>
    <x v="597"/>
    <x v="5"/>
    <x v="5"/>
    <x v="6"/>
    <x v="5"/>
    <x v="6"/>
    <x v="6"/>
    <x v="0"/>
    <x v="0"/>
    <x v="0"/>
    <x v="0"/>
    <x v="0"/>
    <x v="0"/>
    <x v="1958"/>
    <x v="1974"/>
    <x v="6"/>
  </r>
  <r>
    <x v="597"/>
    <x v="5"/>
    <x v="5"/>
    <x v="5"/>
    <x v="5"/>
    <x v="6"/>
    <x v="6"/>
    <x v="0"/>
    <x v="0"/>
    <x v="0"/>
    <x v="0"/>
    <x v="0"/>
    <x v="0"/>
    <x v="1959"/>
    <x v="1975"/>
    <x v="6"/>
  </r>
  <r>
    <x v="597"/>
    <x v="5"/>
    <x v="5"/>
    <x v="6"/>
    <x v="5"/>
    <x v="6"/>
    <x v="6"/>
    <x v="0"/>
    <x v="0"/>
    <x v="0"/>
    <x v="0"/>
    <x v="0"/>
    <x v="0"/>
    <x v="1960"/>
    <x v="1976"/>
    <x v="6"/>
  </r>
  <r>
    <x v="597"/>
    <x v="5"/>
    <x v="5"/>
    <x v="5"/>
    <x v="5"/>
    <x v="6"/>
    <x v="6"/>
    <x v="0"/>
    <x v="0"/>
    <x v="0"/>
    <x v="0"/>
    <x v="0"/>
    <x v="0"/>
    <x v="1961"/>
    <x v="1977"/>
    <x v="6"/>
  </r>
  <r>
    <x v="598"/>
    <x v="31"/>
    <x v="35"/>
    <x v="8"/>
    <x v="569"/>
    <x v="8"/>
    <x v="310"/>
    <x v="2"/>
    <x v="176"/>
    <x v="132"/>
    <x v="0"/>
    <x v="0"/>
    <x v="0"/>
    <x v="1800"/>
    <x v="1978"/>
    <x v="112"/>
  </r>
  <r>
    <x v="598"/>
    <x v="5"/>
    <x v="5"/>
    <x v="21"/>
    <x v="5"/>
    <x v="6"/>
    <x v="6"/>
    <x v="0"/>
    <x v="0"/>
    <x v="0"/>
    <x v="0"/>
    <x v="0"/>
    <x v="0"/>
    <x v="1962"/>
    <x v="1979"/>
    <x v="6"/>
  </r>
  <r>
    <x v="598"/>
    <x v="5"/>
    <x v="5"/>
    <x v="6"/>
    <x v="5"/>
    <x v="6"/>
    <x v="6"/>
    <x v="0"/>
    <x v="0"/>
    <x v="0"/>
    <x v="0"/>
    <x v="0"/>
    <x v="0"/>
    <x v="1963"/>
    <x v="1980"/>
    <x v="6"/>
  </r>
  <r>
    <x v="598"/>
    <x v="5"/>
    <x v="5"/>
    <x v="5"/>
    <x v="5"/>
    <x v="6"/>
    <x v="6"/>
    <x v="0"/>
    <x v="0"/>
    <x v="0"/>
    <x v="0"/>
    <x v="0"/>
    <x v="0"/>
    <x v="1964"/>
    <x v="1981"/>
    <x v="6"/>
  </r>
  <r>
    <x v="598"/>
    <x v="5"/>
    <x v="5"/>
    <x v="6"/>
    <x v="5"/>
    <x v="6"/>
    <x v="6"/>
    <x v="0"/>
    <x v="0"/>
    <x v="0"/>
    <x v="0"/>
    <x v="0"/>
    <x v="0"/>
    <x v="1965"/>
    <x v="1982"/>
    <x v="6"/>
  </r>
  <r>
    <x v="598"/>
    <x v="5"/>
    <x v="5"/>
    <x v="5"/>
    <x v="5"/>
    <x v="6"/>
    <x v="6"/>
    <x v="0"/>
    <x v="0"/>
    <x v="0"/>
    <x v="0"/>
    <x v="0"/>
    <x v="0"/>
    <x v="1966"/>
    <x v="1983"/>
    <x v="6"/>
  </r>
  <r>
    <x v="599"/>
    <x v="31"/>
    <x v="35"/>
    <x v="1"/>
    <x v="596"/>
    <x v="54"/>
    <x v="653"/>
    <x v="2"/>
    <x v="383"/>
    <x v="0"/>
    <x v="0"/>
    <x v="0"/>
    <x v="0"/>
    <x v="1967"/>
    <x v="1984"/>
    <x v="121"/>
  </r>
  <r>
    <x v="599"/>
    <x v="17"/>
    <x v="19"/>
    <x v="22"/>
    <x v="597"/>
    <x v="13"/>
    <x v="654"/>
    <x v="2"/>
    <x v="384"/>
    <x v="0"/>
    <x v="0"/>
    <x v="0"/>
    <x v="0"/>
    <x v="1968"/>
    <x v="1985"/>
    <x v="17"/>
  </r>
  <r>
    <x v="599"/>
    <x v="5"/>
    <x v="5"/>
    <x v="2"/>
    <x v="5"/>
    <x v="6"/>
    <x v="6"/>
    <x v="0"/>
    <x v="0"/>
    <x v="0"/>
    <x v="0"/>
    <x v="0"/>
    <x v="0"/>
    <x v="1969"/>
    <x v="1986"/>
    <x v="6"/>
  </r>
  <r>
    <x v="599"/>
    <x v="17"/>
    <x v="19"/>
    <x v="23"/>
    <x v="5"/>
    <x v="6"/>
    <x v="6"/>
    <x v="0"/>
    <x v="0"/>
    <x v="0"/>
    <x v="0"/>
    <x v="0"/>
    <x v="0"/>
    <x v="0"/>
    <x v="0"/>
    <x v="6"/>
  </r>
  <r>
    <x v="600"/>
    <x v="31"/>
    <x v="35"/>
    <x v="8"/>
    <x v="511"/>
    <x v="54"/>
    <x v="655"/>
    <x v="2"/>
    <x v="145"/>
    <x v="287"/>
    <x v="0"/>
    <x v="0"/>
    <x v="0"/>
    <x v="1970"/>
    <x v="1987"/>
    <x v="112"/>
  </r>
  <r>
    <x v="600"/>
    <x v="40"/>
    <x v="46"/>
    <x v="8"/>
    <x v="598"/>
    <x v="53"/>
    <x v="656"/>
    <x v="2"/>
    <x v="83"/>
    <x v="0"/>
    <x v="0"/>
    <x v="0"/>
    <x v="0"/>
    <x v="1971"/>
    <x v="1988"/>
    <x v="119"/>
  </r>
  <r>
    <x v="600"/>
    <x v="5"/>
    <x v="5"/>
    <x v="21"/>
    <x v="5"/>
    <x v="6"/>
    <x v="6"/>
    <x v="0"/>
    <x v="0"/>
    <x v="0"/>
    <x v="0"/>
    <x v="0"/>
    <x v="0"/>
    <x v="119"/>
    <x v="1989"/>
    <x v="6"/>
  </r>
  <r>
    <x v="600"/>
    <x v="5"/>
    <x v="5"/>
    <x v="6"/>
    <x v="5"/>
    <x v="6"/>
    <x v="6"/>
    <x v="0"/>
    <x v="0"/>
    <x v="0"/>
    <x v="0"/>
    <x v="0"/>
    <x v="0"/>
    <x v="1972"/>
    <x v="1990"/>
    <x v="6"/>
  </r>
  <r>
    <x v="600"/>
    <x v="5"/>
    <x v="5"/>
    <x v="5"/>
    <x v="5"/>
    <x v="6"/>
    <x v="6"/>
    <x v="0"/>
    <x v="0"/>
    <x v="0"/>
    <x v="0"/>
    <x v="0"/>
    <x v="0"/>
    <x v="1973"/>
    <x v="1991"/>
    <x v="6"/>
  </r>
  <r>
    <x v="600"/>
    <x v="5"/>
    <x v="5"/>
    <x v="6"/>
    <x v="5"/>
    <x v="6"/>
    <x v="6"/>
    <x v="0"/>
    <x v="0"/>
    <x v="0"/>
    <x v="0"/>
    <x v="0"/>
    <x v="0"/>
    <x v="1974"/>
    <x v="1992"/>
    <x v="6"/>
  </r>
  <r>
    <x v="600"/>
    <x v="5"/>
    <x v="5"/>
    <x v="5"/>
    <x v="5"/>
    <x v="6"/>
    <x v="6"/>
    <x v="0"/>
    <x v="0"/>
    <x v="0"/>
    <x v="0"/>
    <x v="0"/>
    <x v="0"/>
    <x v="1975"/>
    <x v="1993"/>
    <x v="6"/>
  </r>
  <r>
    <x v="600"/>
    <x v="5"/>
    <x v="5"/>
    <x v="5"/>
    <x v="5"/>
    <x v="6"/>
    <x v="6"/>
    <x v="0"/>
    <x v="0"/>
    <x v="0"/>
    <x v="0"/>
    <x v="0"/>
    <x v="0"/>
    <x v="1976"/>
    <x v="1994"/>
    <x v="6"/>
  </r>
  <r>
    <x v="600"/>
    <x v="5"/>
    <x v="5"/>
    <x v="6"/>
    <x v="5"/>
    <x v="6"/>
    <x v="6"/>
    <x v="0"/>
    <x v="0"/>
    <x v="0"/>
    <x v="0"/>
    <x v="0"/>
    <x v="0"/>
    <x v="1977"/>
    <x v="1995"/>
    <x v="6"/>
  </r>
  <r>
    <x v="600"/>
    <x v="5"/>
    <x v="5"/>
    <x v="5"/>
    <x v="5"/>
    <x v="6"/>
    <x v="6"/>
    <x v="0"/>
    <x v="0"/>
    <x v="0"/>
    <x v="0"/>
    <x v="0"/>
    <x v="0"/>
    <x v="1978"/>
    <x v="1996"/>
    <x v="6"/>
  </r>
  <r>
    <x v="601"/>
    <x v="5"/>
    <x v="5"/>
    <x v="13"/>
    <x v="5"/>
    <x v="6"/>
    <x v="6"/>
    <x v="0"/>
    <x v="0"/>
    <x v="0"/>
    <x v="0"/>
    <x v="0"/>
    <x v="0"/>
    <x v="1979"/>
    <x v="1997"/>
    <x v="6"/>
  </r>
  <r>
    <x v="601"/>
    <x v="31"/>
    <x v="35"/>
    <x v="1"/>
    <x v="451"/>
    <x v="8"/>
    <x v="556"/>
    <x v="2"/>
    <x v="240"/>
    <x v="0"/>
    <x v="0"/>
    <x v="0"/>
    <x v="0"/>
    <x v="1980"/>
    <x v="1998"/>
    <x v="89"/>
  </r>
  <r>
    <x v="601"/>
    <x v="31"/>
    <x v="35"/>
    <x v="8"/>
    <x v="536"/>
    <x v="8"/>
    <x v="582"/>
    <x v="2"/>
    <x v="385"/>
    <x v="256"/>
    <x v="0"/>
    <x v="0"/>
    <x v="0"/>
    <x v="1838"/>
    <x v="1999"/>
    <x v="112"/>
  </r>
  <r>
    <x v="601"/>
    <x v="5"/>
    <x v="5"/>
    <x v="2"/>
    <x v="5"/>
    <x v="6"/>
    <x v="6"/>
    <x v="0"/>
    <x v="0"/>
    <x v="0"/>
    <x v="0"/>
    <x v="0"/>
    <x v="0"/>
    <x v="1981"/>
    <x v="2000"/>
    <x v="6"/>
  </r>
  <r>
    <x v="601"/>
    <x v="5"/>
    <x v="5"/>
    <x v="21"/>
    <x v="5"/>
    <x v="6"/>
    <x v="6"/>
    <x v="0"/>
    <x v="0"/>
    <x v="0"/>
    <x v="0"/>
    <x v="0"/>
    <x v="0"/>
    <x v="799"/>
    <x v="2001"/>
    <x v="6"/>
  </r>
  <r>
    <x v="601"/>
    <x v="5"/>
    <x v="5"/>
    <x v="6"/>
    <x v="5"/>
    <x v="6"/>
    <x v="6"/>
    <x v="0"/>
    <x v="0"/>
    <x v="0"/>
    <x v="0"/>
    <x v="0"/>
    <x v="0"/>
    <x v="1982"/>
    <x v="2002"/>
    <x v="6"/>
  </r>
  <r>
    <x v="601"/>
    <x v="5"/>
    <x v="5"/>
    <x v="5"/>
    <x v="5"/>
    <x v="6"/>
    <x v="6"/>
    <x v="0"/>
    <x v="0"/>
    <x v="0"/>
    <x v="0"/>
    <x v="0"/>
    <x v="0"/>
    <x v="1983"/>
    <x v="2003"/>
    <x v="6"/>
  </r>
  <r>
    <x v="601"/>
    <x v="5"/>
    <x v="5"/>
    <x v="6"/>
    <x v="5"/>
    <x v="6"/>
    <x v="6"/>
    <x v="0"/>
    <x v="0"/>
    <x v="0"/>
    <x v="0"/>
    <x v="0"/>
    <x v="0"/>
    <x v="1984"/>
    <x v="2004"/>
    <x v="6"/>
  </r>
  <r>
    <x v="601"/>
    <x v="5"/>
    <x v="5"/>
    <x v="5"/>
    <x v="5"/>
    <x v="6"/>
    <x v="6"/>
    <x v="0"/>
    <x v="0"/>
    <x v="0"/>
    <x v="0"/>
    <x v="0"/>
    <x v="0"/>
    <x v="1985"/>
    <x v="2005"/>
    <x v="6"/>
  </r>
  <r>
    <x v="601"/>
    <x v="5"/>
    <x v="5"/>
    <x v="21"/>
    <x v="5"/>
    <x v="6"/>
    <x v="6"/>
    <x v="0"/>
    <x v="0"/>
    <x v="0"/>
    <x v="0"/>
    <x v="0"/>
    <x v="0"/>
    <x v="1986"/>
    <x v="2006"/>
    <x v="6"/>
  </r>
  <r>
    <x v="601"/>
    <x v="5"/>
    <x v="5"/>
    <x v="6"/>
    <x v="5"/>
    <x v="6"/>
    <x v="6"/>
    <x v="0"/>
    <x v="0"/>
    <x v="0"/>
    <x v="0"/>
    <x v="0"/>
    <x v="0"/>
    <x v="1987"/>
    <x v="2007"/>
    <x v="6"/>
  </r>
  <r>
    <x v="601"/>
    <x v="5"/>
    <x v="5"/>
    <x v="6"/>
    <x v="5"/>
    <x v="6"/>
    <x v="6"/>
    <x v="0"/>
    <x v="0"/>
    <x v="0"/>
    <x v="0"/>
    <x v="0"/>
    <x v="0"/>
    <x v="1988"/>
    <x v="0"/>
    <x v="6"/>
  </r>
  <r>
    <x v="602"/>
    <x v="31"/>
    <x v="35"/>
    <x v="1"/>
    <x v="330"/>
    <x v="8"/>
    <x v="347"/>
    <x v="2"/>
    <x v="233"/>
    <x v="0"/>
    <x v="0"/>
    <x v="0"/>
    <x v="0"/>
    <x v="699"/>
    <x v="2008"/>
    <x v="89"/>
  </r>
  <r>
    <x v="602"/>
    <x v="5"/>
    <x v="5"/>
    <x v="2"/>
    <x v="5"/>
    <x v="6"/>
    <x v="6"/>
    <x v="0"/>
    <x v="0"/>
    <x v="0"/>
    <x v="0"/>
    <x v="0"/>
    <x v="0"/>
    <x v="1989"/>
    <x v="0"/>
    <x v="6"/>
  </r>
  <r>
    <x v="603"/>
    <x v="40"/>
    <x v="46"/>
    <x v="1"/>
    <x v="599"/>
    <x v="67"/>
    <x v="657"/>
    <x v="2"/>
    <x v="257"/>
    <x v="0"/>
    <x v="0"/>
    <x v="0"/>
    <x v="0"/>
    <x v="1990"/>
    <x v="2009"/>
    <x v="122"/>
  </r>
  <r>
    <x v="603"/>
    <x v="5"/>
    <x v="5"/>
    <x v="2"/>
    <x v="5"/>
    <x v="6"/>
    <x v="6"/>
    <x v="0"/>
    <x v="0"/>
    <x v="0"/>
    <x v="0"/>
    <x v="0"/>
    <x v="0"/>
    <x v="1991"/>
    <x v="0"/>
    <x v="6"/>
  </r>
  <r>
    <x v="604"/>
    <x v="40"/>
    <x v="46"/>
    <x v="8"/>
    <x v="600"/>
    <x v="67"/>
    <x v="658"/>
    <x v="2"/>
    <x v="191"/>
    <x v="0"/>
    <x v="0"/>
    <x v="0"/>
    <x v="0"/>
    <x v="1992"/>
    <x v="2010"/>
    <x v="119"/>
  </r>
  <r>
    <x v="604"/>
    <x v="5"/>
    <x v="5"/>
    <x v="21"/>
    <x v="5"/>
    <x v="6"/>
    <x v="6"/>
    <x v="0"/>
    <x v="0"/>
    <x v="0"/>
    <x v="0"/>
    <x v="0"/>
    <x v="0"/>
    <x v="1993"/>
    <x v="2011"/>
    <x v="6"/>
  </r>
  <r>
    <x v="604"/>
    <x v="5"/>
    <x v="5"/>
    <x v="6"/>
    <x v="5"/>
    <x v="6"/>
    <x v="6"/>
    <x v="0"/>
    <x v="0"/>
    <x v="0"/>
    <x v="0"/>
    <x v="0"/>
    <x v="0"/>
    <x v="1994"/>
    <x v="2012"/>
    <x v="6"/>
  </r>
  <r>
    <x v="604"/>
    <x v="5"/>
    <x v="5"/>
    <x v="5"/>
    <x v="5"/>
    <x v="6"/>
    <x v="6"/>
    <x v="0"/>
    <x v="0"/>
    <x v="0"/>
    <x v="0"/>
    <x v="0"/>
    <x v="0"/>
    <x v="1995"/>
    <x v="2013"/>
    <x v="6"/>
  </r>
  <r>
    <x v="604"/>
    <x v="5"/>
    <x v="5"/>
    <x v="6"/>
    <x v="5"/>
    <x v="6"/>
    <x v="6"/>
    <x v="0"/>
    <x v="0"/>
    <x v="0"/>
    <x v="0"/>
    <x v="0"/>
    <x v="0"/>
    <x v="1996"/>
    <x v="2014"/>
    <x v="6"/>
  </r>
  <r>
    <x v="604"/>
    <x v="5"/>
    <x v="5"/>
    <x v="5"/>
    <x v="5"/>
    <x v="6"/>
    <x v="6"/>
    <x v="0"/>
    <x v="0"/>
    <x v="0"/>
    <x v="0"/>
    <x v="0"/>
    <x v="0"/>
    <x v="1997"/>
    <x v="2015"/>
    <x v="6"/>
  </r>
  <r>
    <x v="605"/>
    <x v="40"/>
    <x v="46"/>
    <x v="1"/>
    <x v="601"/>
    <x v="68"/>
    <x v="659"/>
    <x v="2"/>
    <x v="118"/>
    <x v="0"/>
    <x v="0"/>
    <x v="0"/>
    <x v="0"/>
    <x v="1998"/>
    <x v="2016"/>
    <x v="53"/>
  </r>
  <r>
    <x v="605"/>
    <x v="5"/>
    <x v="5"/>
    <x v="2"/>
    <x v="5"/>
    <x v="6"/>
    <x v="6"/>
    <x v="0"/>
    <x v="0"/>
    <x v="0"/>
    <x v="0"/>
    <x v="0"/>
    <x v="0"/>
    <x v="1999"/>
    <x v="2015"/>
    <x v="6"/>
  </r>
  <r>
    <x v="606"/>
    <x v="5"/>
    <x v="5"/>
    <x v="21"/>
    <x v="5"/>
    <x v="6"/>
    <x v="6"/>
    <x v="0"/>
    <x v="0"/>
    <x v="0"/>
    <x v="0"/>
    <x v="0"/>
    <x v="0"/>
    <x v="2000"/>
    <x v="2017"/>
    <x v="6"/>
  </r>
  <r>
    <x v="606"/>
    <x v="5"/>
    <x v="5"/>
    <x v="6"/>
    <x v="5"/>
    <x v="6"/>
    <x v="6"/>
    <x v="0"/>
    <x v="0"/>
    <x v="0"/>
    <x v="0"/>
    <x v="0"/>
    <x v="0"/>
    <x v="2001"/>
    <x v="0"/>
    <x v="6"/>
  </r>
  <r>
    <x v="607"/>
    <x v="31"/>
    <x v="35"/>
    <x v="8"/>
    <x v="602"/>
    <x v="8"/>
    <x v="660"/>
    <x v="2"/>
    <x v="133"/>
    <x v="288"/>
    <x v="0"/>
    <x v="0"/>
    <x v="0"/>
    <x v="2002"/>
    <x v="2018"/>
    <x v="112"/>
  </r>
  <r>
    <x v="607"/>
    <x v="5"/>
    <x v="5"/>
    <x v="21"/>
    <x v="5"/>
    <x v="6"/>
    <x v="6"/>
    <x v="0"/>
    <x v="0"/>
    <x v="0"/>
    <x v="0"/>
    <x v="0"/>
    <x v="0"/>
    <x v="2003"/>
    <x v="2019"/>
    <x v="6"/>
  </r>
  <r>
    <x v="607"/>
    <x v="5"/>
    <x v="5"/>
    <x v="6"/>
    <x v="5"/>
    <x v="6"/>
    <x v="6"/>
    <x v="0"/>
    <x v="0"/>
    <x v="0"/>
    <x v="0"/>
    <x v="0"/>
    <x v="0"/>
    <x v="2004"/>
    <x v="2020"/>
    <x v="6"/>
  </r>
  <r>
    <x v="607"/>
    <x v="5"/>
    <x v="5"/>
    <x v="5"/>
    <x v="5"/>
    <x v="6"/>
    <x v="6"/>
    <x v="0"/>
    <x v="0"/>
    <x v="0"/>
    <x v="0"/>
    <x v="0"/>
    <x v="0"/>
    <x v="2005"/>
    <x v="2021"/>
    <x v="6"/>
  </r>
  <r>
    <x v="607"/>
    <x v="5"/>
    <x v="5"/>
    <x v="6"/>
    <x v="5"/>
    <x v="6"/>
    <x v="6"/>
    <x v="0"/>
    <x v="0"/>
    <x v="0"/>
    <x v="0"/>
    <x v="0"/>
    <x v="0"/>
    <x v="2006"/>
    <x v="2022"/>
    <x v="6"/>
  </r>
  <r>
    <x v="607"/>
    <x v="5"/>
    <x v="5"/>
    <x v="5"/>
    <x v="5"/>
    <x v="6"/>
    <x v="6"/>
    <x v="0"/>
    <x v="0"/>
    <x v="0"/>
    <x v="0"/>
    <x v="0"/>
    <x v="0"/>
    <x v="2007"/>
    <x v="2023"/>
    <x v="6"/>
  </r>
  <r>
    <x v="608"/>
    <x v="40"/>
    <x v="46"/>
    <x v="1"/>
    <x v="603"/>
    <x v="69"/>
    <x v="661"/>
    <x v="2"/>
    <x v="59"/>
    <x v="0"/>
    <x v="0"/>
    <x v="0"/>
    <x v="0"/>
    <x v="2008"/>
    <x v="2024"/>
    <x v="123"/>
  </r>
  <r>
    <x v="608"/>
    <x v="5"/>
    <x v="5"/>
    <x v="2"/>
    <x v="5"/>
    <x v="6"/>
    <x v="6"/>
    <x v="0"/>
    <x v="0"/>
    <x v="0"/>
    <x v="0"/>
    <x v="0"/>
    <x v="0"/>
    <x v="2009"/>
    <x v="2023"/>
    <x v="6"/>
  </r>
  <r>
    <x v="609"/>
    <x v="40"/>
    <x v="46"/>
    <x v="8"/>
    <x v="604"/>
    <x v="69"/>
    <x v="662"/>
    <x v="2"/>
    <x v="112"/>
    <x v="0"/>
    <x v="0"/>
    <x v="0"/>
    <x v="0"/>
    <x v="2010"/>
    <x v="2025"/>
    <x v="53"/>
  </r>
  <r>
    <x v="609"/>
    <x v="5"/>
    <x v="5"/>
    <x v="6"/>
    <x v="5"/>
    <x v="6"/>
    <x v="6"/>
    <x v="0"/>
    <x v="0"/>
    <x v="0"/>
    <x v="0"/>
    <x v="0"/>
    <x v="0"/>
    <x v="2011"/>
    <x v="2026"/>
    <x v="6"/>
  </r>
  <r>
    <x v="609"/>
    <x v="5"/>
    <x v="5"/>
    <x v="5"/>
    <x v="5"/>
    <x v="6"/>
    <x v="6"/>
    <x v="0"/>
    <x v="0"/>
    <x v="0"/>
    <x v="0"/>
    <x v="0"/>
    <x v="0"/>
    <x v="2012"/>
    <x v="2027"/>
    <x v="6"/>
  </r>
  <r>
    <x v="609"/>
    <x v="5"/>
    <x v="5"/>
    <x v="6"/>
    <x v="5"/>
    <x v="6"/>
    <x v="6"/>
    <x v="0"/>
    <x v="0"/>
    <x v="0"/>
    <x v="0"/>
    <x v="0"/>
    <x v="0"/>
    <x v="2013"/>
    <x v="2028"/>
    <x v="6"/>
  </r>
  <r>
    <x v="609"/>
    <x v="5"/>
    <x v="5"/>
    <x v="5"/>
    <x v="5"/>
    <x v="6"/>
    <x v="6"/>
    <x v="0"/>
    <x v="0"/>
    <x v="0"/>
    <x v="0"/>
    <x v="0"/>
    <x v="0"/>
    <x v="1930"/>
    <x v="2029"/>
    <x v="6"/>
  </r>
  <r>
    <x v="609"/>
    <x v="5"/>
    <x v="5"/>
    <x v="6"/>
    <x v="5"/>
    <x v="6"/>
    <x v="6"/>
    <x v="0"/>
    <x v="0"/>
    <x v="0"/>
    <x v="0"/>
    <x v="0"/>
    <x v="0"/>
    <x v="2014"/>
    <x v="2030"/>
    <x v="6"/>
  </r>
  <r>
    <x v="609"/>
    <x v="5"/>
    <x v="5"/>
    <x v="5"/>
    <x v="5"/>
    <x v="6"/>
    <x v="6"/>
    <x v="0"/>
    <x v="0"/>
    <x v="0"/>
    <x v="0"/>
    <x v="0"/>
    <x v="0"/>
    <x v="2015"/>
    <x v="2031"/>
    <x v="6"/>
  </r>
  <r>
    <x v="610"/>
    <x v="31"/>
    <x v="35"/>
    <x v="8"/>
    <x v="605"/>
    <x v="8"/>
    <x v="663"/>
    <x v="2"/>
    <x v="322"/>
    <x v="289"/>
    <x v="0"/>
    <x v="0"/>
    <x v="0"/>
    <x v="2016"/>
    <x v="2032"/>
    <x v="115"/>
  </r>
  <r>
    <x v="610"/>
    <x v="5"/>
    <x v="5"/>
    <x v="6"/>
    <x v="5"/>
    <x v="6"/>
    <x v="6"/>
    <x v="0"/>
    <x v="0"/>
    <x v="0"/>
    <x v="0"/>
    <x v="0"/>
    <x v="0"/>
    <x v="2017"/>
    <x v="2033"/>
    <x v="6"/>
  </r>
  <r>
    <x v="610"/>
    <x v="5"/>
    <x v="5"/>
    <x v="5"/>
    <x v="5"/>
    <x v="6"/>
    <x v="6"/>
    <x v="0"/>
    <x v="0"/>
    <x v="0"/>
    <x v="0"/>
    <x v="0"/>
    <x v="0"/>
    <x v="2018"/>
    <x v="2034"/>
    <x v="6"/>
  </r>
  <r>
    <x v="610"/>
    <x v="5"/>
    <x v="5"/>
    <x v="6"/>
    <x v="5"/>
    <x v="6"/>
    <x v="6"/>
    <x v="0"/>
    <x v="0"/>
    <x v="0"/>
    <x v="0"/>
    <x v="0"/>
    <x v="0"/>
    <x v="2019"/>
    <x v="2035"/>
    <x v="6"/>
  </r>
  <r>
    <x v="610"/>
    <x v="5"/>
    <x v="5"/>
    <x v="5"/>
    <x v="5"/>
    <x v="6"/>
    <x v="6"/>
    <x v="0"/>
    <x v="0"/>
    <x v="0"/>
    <x v="0"/>
    <x v="0"/>
    <x v="0"/>
    <x v="2020"/>
    <x v="2036"/>
    <x v="6"/>
  </r>
  <r>
    <x v="611"/>
    <x v="35"/>
    <x v="39"/>
    <x v="14"/>
    <x v="5"/>
    <x v="64"/>
    <x v="664"/>
    <x v="0"/>
    <x v="0"/>
    <x v="0"/>
    <x v="0"/>
    <x v="0"/>
    <x v="0"/>
    <x v="2021"/>
    <x v="2037"/>
    <x v="6"/>
  </r>
  <r>
    <x v="612"/>
    <x v="5"/>
    <x v="5"/>
    <x v="6"/>
    <x v="5"/>
    <x v="6"/>
    <x v="6"/>
    <x v="0"/>
    <x v="0"/>
    <x v="0"/>
    <x v="0"/>
    <x v="0"/>
    <x v="0"/>
    <x v="2022"/>
    <x v="2038"/>
    <x v="6"/>
  </r>
  <r>
    <x v="612"/>
    <x v="5"/>
    <x v="5"/>
    <x v="5"/>
    <x v="5"/>
    <x v="6"/>
    <x v="6"/>
    <x v="0"/>
    <x v="0"/>
    <x v="0"/>
    <x v="0"/>
    <x v="0"/>
    <x v="0"/>
    <x v="2023"/>
    <x v="2039"/>
    <x v="6"/>
  </r>
  <r>
    <x v="613"/>
    <x v="31"/>
    <x v="35"/>
    <x v="1"/>
    <x v="525"/>
    <x v="8"/>
    <x v="587"/>
    <x v="2"/>
    <x v="133"/>
    <x v="0"/>
    <x v="0"/>
    <x v="0"/>
    <x v="0"/>
    <x v="1827"/>
    <x v="2040"/>
    <x v="112"/>
  </r>
  <r>
    <x v="613"/>
    <x v="5"/>
    <x v="5"/>
    <x v="2"/>
    <x v="5"/>
    <x v="6"/>
    <x v="6"/>
    <x v="0"/>
    <x v="0"/>
    <x v="0"/>
    <x v="0"/>
    <x v="0"/>
    <x v="0"/>
    <x v="1828"/>
    <x v="2039"/>
    <x v="6"/>
  </r>
  <r>
    <x v="614"/>
    <x v="5"/>
    <x v="5"/>
    <x v="13"/>
    <x v="5"/>
    <x v="6"/>
    <x v="6"/>
    <x v="0"/>
    <x v="0"/>
    <x v="0"/>
    <x v="0"/>
    <x v="0"/>
    <x v="0"/>
    <x v="2024"/>
    <x v="2041"/>
    <x v="6"/>
  </r>
  <r>
    <x v="614"/>
    <x v="5"/>
    <x v="5"/>
    <x v="6"/>
    <x v="5"/>
    <x v="6"/>
    <x v="6"/>
    <x v="0"/>
    <x v="0"/>
    <x v="0"/>
    <x v="0"/>
    <x v="0"/>
    <x v="0"/>
    <x v="1785"/>
    <x v="2042"/>
    <x v="6"/>
  </r>
  <r>
    <x v="614"/>
    <x v="5"/>
    <x v="5"/>
    <x v="6"/>
    <x v="5"/>
    <x v="6"/>
    <x v="6"/>
    <x v="0"/>
    <x v="0"/>
    <x v="0"/>
    <x v="0"/>
    <x v="0"/>
    <x v="0"/>
    <x v="1300"/>
    <x v="0"/>
    <x v="6"/>
  </r>
  <r>
    <x v="615"/>
    <x v="31"/>
    <x v="35"/>
    <x v="8"/>
    <x v="575"/>
    <x v="8"/>
    <x v="564"/>
    <x v="2"/>
    <x v="181"/>
    <x v="290"/>
    <x v="0"/>
    <x v="0"/>
    <x v="0"/>
    <x v="2025"/>
    <x v="2043"/>
    <x v="115"/>
  </r>
  <r>
    <x v="615"/>
    <x v="5"/>
    <x v="5"/>
    <x v="5"/>
    <x v="5"/>
    <x v="6"/>
    <x v="6"/>
    <x v="0"/>
    <x v="0"/>
    <x v="0"/>
    <x v="0"/>
    <x v="0"/>
    <x v="0"/>
    <x v="2026"/>
    <x v="2044"/>
    <x v="6"/>
  </r>
  <r>
    <x v="615"/>
    <x v="5"/>
    <x v="5"/>
    <x v="6"/>
    <x v="5"/>
    <x v="6"/>
    <x v="6"/>
    <x v="0"/>
    <x v="0"/>
    <x v="0"/>
    <x v="0"/>
    <x v="0"/>
    <x v="0"/>
    <x v="2027"/>
    <x v="2045"/>
    <x v="6"/>
  </r>
  <r>
    <x v="615"/>
    <x v="5"/>
    <x v="5"/>
    <x v="5"/>
    <x v="5"/>
    <x v="6"/>
    <x v="6"/>
    <x v="0"/>
    <x v="0"/>
    <x v="0"/>
    <x v="0"/>
    <x v="0"/>
    <x v="0"/>
    <x v="2028"/>
    <x v="2046"/>
    <x v="6"/>
  </r>
  <r>
    <x v="616"/>
    <x v="25"/>
    <x v="28"/>
    <x v="14"/>
    <x v="5"/>
    <x v="6"/>
    <x v="665"/>
    <x v="0"/>
    <x v="0"/>
    <x v="0"/>
    <x v="0"/>
    <x v="0"/>
    <x v="0"/>
    <x v="2029"/>
    <x v="2047"/>
    <x v="6"/>
  </r>
  <r>
    <x v="616"/>
    <x v="31"/>
    <x v="35"/>
    <x v="1"/>
    <x v="513"/>
    <x v="8"/>
    <x v="581"/>
    <x v="2"/>
    <x v="264"/>
    <x v="0"/>
    <x v="0"/>
    <x v="0"/>
    <x v="0"/>
    <x v="2030"/>
    <x v="2048"/>
    <x v="112"/>
  </r>
  <r>
    <x v="616"/>
    <x v="5"/>
    <x v="5"/>
    <x v="2"/>
    <x v="5"/>
    <x v="6"/>
    <x v="6"/>
    <x v="0"/>
    <x v="0"/>
    <x v="0"/>
    <x v="0"/>
    <x v="0"/>
    <x v="0"/>
    <x v="2031"/>
    <x v="2047"/>
    <x v="6"/>
  </r>
  <r>
    <x v="617"/>
    <x v="40"/>
    <x v="46"/>
    <x v="8"/>
    <x v="606"/>
    <x v="68"/>
    <x v="666"/>
    <x v="2"/>
    <x v="191"/>
    <x v="0"/>
    <x v="0"/>
    <x v="0"/>
    <x v="0"/>
    <x v="2032"/>
    <x v="2049"/>
    <x v="119"/>
  </r>
  <r>
    <x v="617"/>
    <x v="5"/>
    <x v="5"/>
    <x v="6"/>
    <x v="5"/>
    <x v="6"/>
    <x v="6"/>
    <x v="0"/>
    <x v="0"/>
    <x v="0"/>
    <x v="0"/>
    <x v="0"/>
    <x v="0"/>
    <x v="1386"/>
    <x v="2050"/>
    <x v="6"/>
  </r>
  <r>
    <x v="617"/>
    <x v="5"/>
    <x v="5"/>
    <x v="5"/>
    <x v="5"/>
    <x v="6"/>
    <x v="6"/>
    <x v="0"/>
    <x v="0"/>
    <x v="0"/>
    <x v="0"/>
    <x v="0"/>
    <x v="0"/>
    <x v="2033"/>
    <x v="2051"/>
    <x v="6"/>
  </r>
  <r>
    <x v="617"/>
    <x v="5"/>
    <x v="5"/>
    <x v="6"/>
    <x v="5"/>
    <x v="6"/>
    <x v="6"/>
    <x v="0"/>
    <x v="0"/>
    <x v="0"/>
    <x v="0"/>
    <x v="0"/>
    <x v="0"/>
    <x v="2034"/>
    <x v="2052"/>
    <x v="6"/>
  </r>
  <r>
    <x v="617"/>
    <x v="5"/>
    <x v="5"/>
    <x v="5"/>
    <x v="5"/>
    <x v="6"/>
    <x v="6"/>
    <x v="0"/>
    <x v="0"/>
    <x v="0"/>
    <x v="0"/>
    <x v="0"/>
    <x v="0"/>
    <x v="2035"/>
    <x v="2053"/>
    <x v="6"/>
  </r>
  <r>
    <x v="618"/>
    <x v="5"/>
    <x v="5"/>
    <x v="25"/>
    <x v="607"/>
    <x v="70"/>
    <x v="667"/>
    <x v="338"/>
    <x v="386"/>
    <x v="291"/>
    <x v="64"/>
    <x v="1"/>
    <x v="1"/>
    <x v="2036"/>
    <x v="2054"/>
    <x v="12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695">
  <r>
    <x v="0"/>
    <x v="0"/>
    <x v="0"/>
  </r>
  <r>
    <x v="1"/>
    <x v="1"/>
    <x v="1"/>
  </r>
  <r>
    <x v="1"/>
    <x v="0"/>
    <x v="2"/>
  </r>
  <r>
    <x v="2"/>
    <x v="0"/>
    <x v="2"/>
  </r>
  <r>
    <x v="2"/>
    <x v="1"/>
    <x v="3"/>
  </r>
  <r>
    <x v="3"/>
    <x v="0"/>
    <x v="2"/>
  </r>
  <r>
    <x v="3"/>
    <x v="1"/>
    <x v="4"/>
  </r>
  <r>
    <x v="3"/>
    <x v="2"/>
    <x v="5"/>
  </r>
  <r>
    <x v="4"/>
    <x v="0"/>
    <x v="6"/>
  </r>
  <r>
    <x v="4"/>
    <x v="1"/>
    <x v="3"/>
  </r>
  <r>
    <x v="4"/>
    <x v="2"/>
    <x v="7"/>
  </r>
  <r>
    <x v="5"/>
    <x v="2"/>
    <x v="7"/>
  </r>
  <r>
    <x v="5"/>
    <x v="2"/>
    <x v="7"/>
  </r>
  <r>
    <x v="5"/>
    <x v="1"/>
    <x v="8"/>
  </r>
  <r>
    <x v="5"/>
    <x v="0"/>
    <x v="2"/>
  </r>
  <r>
    <x v="6"/>
    <x v="0"/>
    <x v="2"/>
  </r>
  <r>
    <x v="6"/>
    <x v="1"/>
    <x v="3"/>
  </r>
  <r>
    <x v="7"/>
    <x v="0"/>
    <x v="2"/>
  </r>
  <r>
    <x v="7"/>
    <x v="1"/>
    <x v="3"/>
  </r>
  <r>
    <x v="8"/>
    <x v="0"/>
    <x v="2"/>
  </r>
  <r>
    <x v="8"/>
    <x v="1"/>
    <x v="3"/>
  </r>
  <r>
    <x v="9"/>
    <x v="0"/>
    <x v="6"/>
  </r>
  <r>
    <x v="9"/>
    <x v="1"/>
    <x v="3"/>
  </r>
  <r>
    <x v="10"/>
    <x v="0"/>
    <x v="2"/>
  </r>
  <r>
    <x v="10"/>
    <x v="1"/>
    <x v="8"/>
  </r>
  <r>
    <x v="11"/>
    <x v="0"/>
    <x v="2"/>
  </r>
  <r>
    <x v="11"/>
    <x v="1"/>
    <x v="9"/>
  </r>
  <r>
    <x v="11"/>
    <x v="2"/>
    <x v="10"/>
  </r>
  <r>
    <x v="12"/>
    <x v="1"/>
    <x v="3"/>
  </r>
  <r>
    <x v="12"/>
    <x v="0"/>
    <x v="2"/>
  </r>
  <r>
    <x v="13"/>
    <x v="0"/>
    <x v="2"/>
  </r>
  <r>
    <x v="13"/>
    <x v="1"/>
    <x v="3"/>
  </r>
  <r>
    <x v="14"/>
    <x v="1"/>
    <x v="3"/>
  </r>
  <r>
    <x v="14"/>
    <x v="0"/>
    <x v="6"/>
  </r>
  <r>
    <x v="15"/>
    <x v="1"/>
    <x v="8"/>
  </r>
  <r>
    <x v="15"/>
    <x v="0"/>
    <x v="2"/>
  </r>
  <r>
    <x v="16"/>
    <x v="0"/>
    <x v="2"/>
  </r>
  <r>
    <x v="16"/>
    <x v="1"/>
    <x v="3"/>
  </r>
  <r>
    <x v="17"/>
    <x v="0"/>
    <x v="2"/>
  </r>
  <r>
    <x v="17"/>
    <x v="1"/>
    <x v="3"/>
  </r>
  <r>
    <x v="18"/>
    <x v="0"/>
    <x v="2"/>
  </r>
  <r>
    <x v="18"/>
    <x v="1"/>
    <x v="3"/>
  </r>
  <r>
    <x v="19"/>
    <x v="0"/>
    <x v="11"/>
  </r>
  <r>
    <x v="19"/>
    <x v="1"/>
    <x v="3"/>
  </r>
  <r>
    <x v="20"/>
    <x v="1"/>
    <x v="12"/>
  </r>
  <r>
    <x v="20"/>
    <x v="0"/>
    <x v="2"/>
  </r>
  <r>
    <x v="21"/>
    <x v="1"/>
    <x v="3"/>
  </r>
  <r>
    <x v="21"/>
    <x v="0"/>
    <x v="2"/>
  </r>
  <r>
    <x v="22"/>
    <x v="1"/>
    <x v="3"/>
  </r>
  <r>
    <x v="22"/>
    <x v="0"/>
    <x v="2"/>
  </r>
  <r>
    <x v="23"/>
    <x v="1"/>
    <x v="3"/>
  </r>
  <r>
    <x v="23"/>
    <x v="0"/>
    <x v="2"/>
  </r>
  <r>
    <x v="24"/>
    <x v="0"/>
    <x v="6"/>
  </r>
  <r>
    <x v="24"/>
    <x v="1"/>
    <x v="3"/>
  </r>
  <r>
    <x v="25"/>
    <x v="1"/>
    <x v="8"/>
  </r>
  <r>
    <x v="25"/>
    <x v="0"/>
    <x v="2"/>
  </r>
  <r>
    <x v="26"/>
    <x v="0"/>
    <x v="2"/>
  </r>
  <r>
    <x v="26"/>
    <x v="1"/>
    <x v="3"/>
  </r>
  <r>
    <x v="27"/>
    <x v="0"/>
    <x v="2"/>
  </r>
  <r>
    <x v="27"/>
    <x v="1"/>
    <x v="3"/>
  </r>
  <r>
    <x v="28"/>
    <x v="1"/>
    <x v="3"/>
  </r>
  <r>
    <x v="28"/>
    <x v="0"/>
    <x v="2"/>
  </r>
  <r>
    <x v="29"/>
    <x v="0"/>
    <x v="6"/>
  </r>
  <r>
    <x v="29"/>
    <x v="1"/>
    <x v="3"/>
  </r>
  <r>
    <x v="30"/>
    <x v="1"/>
    <x v="8"/>
  </r>
  <r>
    <x v="30"/>
    <x v="0"/>
    <x v="2"/>
  </r>
  <r>
    <x v="31"/>
    <x v="0"/>
    <x v="2"/>
  </r>
  <r>
    <x v="31"/>
    <x v="1"/>
    <x v="3"/>
  </r>
  <r>
    <x v="32"/>
    <x v="1"/>
    <x v="3"/>
  </r>
  <r>
    <x v="32"/>
    <x v="0"/>
    <x v="2"/>
  </r>
  <r>
    <x v="33"/>
    <x v="1"/>
    <x v="3"/>
  </r>
  <r>
    <x v="33"/>
    <x v="0"/>
    <x v="2"/>
  </r>
  <r>
    <x v="34"/>
    <x v="1"/>
    <x v="3"/>
  </r>
  <r>
    <x v="34"/>
    <x v="0"/>
    <x v="6"/>
  </r>
  <r>
    <x v="35"/>
    <x v="1"/>
    <x v="8"/>
  </r>
  <r>
    <x v="35"/>
    <x v="0"/>
    <x v="2"/>
  </r>
  <r>
    <x v="36"/>
    <x v="0"/>
    <x v="2"/>
  </r>
  <r>
    <x v="36"/>
    <x v="1"/>
    <x v="3"/>
  </r>
  <r>
    <x v="37"/>
    <x v="1"/>
    <x v="3"/>
  </r>
  <r>
    <x v="37"/>
    <x v="0"/>
    <x v="2"/>
  </r>
  <r>
    <x v="38"/>
    <x v="1"/>
    <x v="3"/>
  </r>
  <r>
    <x v="38"/>
    <x v="0"/>
    <x v="2"/>
  </r>
  <r>
    <x v="39"/>
    <x v="0"/>
    <x v="6"/>
  </r>
  <r>
    <x v="39"/>
    <x v="1"/>
    <x v="3"/>
  </r>
  <r>
    <x v="40"/>
    <x v="1"/>
    <x v="8"/>
  </r>
  <r>
    <x v="40"/>
    <x v="0"/>
    <x v="2"/>
  </r>
  <r>
    <x v="41"/>
    <x v="0"/>
    <x v="2"/>
  </r>
  <r>
    <x v="41"/>
    <x v="1"/>
    <x v="3"/>
  </r>
  <r>
    <x v="42"/>
    <x v="1"/>
    <x v="3"/>
  </r>
  <r>
    <x v="42"/>
    <x v="0"/>
    <x v="13"/>
  </r>
  <r>
    <x v="43"/>
    <x v="0"/>
    <x v="2"/>
  </r>
  <r>
    <x v="43"/>
    <x v="1"/>
    <x v="14"/>
  </r>
  <r>
    <x v="44"/>
    <x v="0"/>
    <x v="15"/>
  </r>
  <r>
    <x v="44"/>
    <x v="1"/>
    <x v="3"/>
  </r>
  <r>
    <x v="45"/>
    <x v="1"/>
    <x v="16"/>
  </r>
  <r>
    <x v="45"/>
    <x v="0"/>
    <x v="13"/>
  </r>
  <r>
    <x v="46"/>
    <x v="0"/>
    <x v="13"/>
  </r>
  <r>
    <x v="46"/>
    <x v="1"/>
    <x v="14"/>
  </r>
  <r>
    <x v="47"/>
    <x v="0"/>
    <x v="13"/>
  </r>
  <r>
    <x v="47"/>
    <x v="1"/>
    <x v="14"/>
  </r>
  <r>
    <x v="48"/>
    <x v="1"/>
    <x v="14"/>
  </r>
  <r>
    <x v="48"/>
    <x v="0"/>
    <x v="2"/>
  </r>
  <r>
    <x v="48"/>
    <x v="0"/>
    <x v="17"/>
  </r>
  <r>
    <x v="49"/>
    <x v="0"/>
    <x v="6"/>
  </r>
  <r>
    <x v="50"/>
    <x v="0"/>
    <x v="2"/>
  </r>
  <r>
    <x v="50"/>
    <x v="1"/>
    <x v="18"/>
  </r>
  <r>
    <x v="51"/>
    <x v="0"/>
    <x v="2"/>
  </r>
  <r>
    <x v="52"/>
    <x v="0"/>
    <x v="2"/>
  </r>
  <r>
    <x v="53"/>
    <x v="0"/>
    <x v="2"/>
  </r>
  <r>
    <x v="54"/>
    <x v="0"/>
    <x v="6"/>
  </r>
  <r>
    <x v="55"/>
    <x v="0"/>
    <x v="2"/>
  </r>
  <r>
    <x v="56"/>
    <x v="0"/>
    <x v="2"/>
  </r>
  <r>
    <x v="57"/>
    <x v="0"/>
    <x v="2"/>
  </r>
  <r>
    <x v="58"/>
    <x v="0"/>
    <x v="2"/>
  </r>
  <r>
    <x v="59"/>
    <x v="0"/>
    <x v="19"/>
  </r>
  <r>
    <x v="60"/>
    <x v="0"/>
    <x v="2"/>
  </r>
  <r>
    <x v="61"/>
    <x v="0"/>
    <x v="2"/>
  </r>
  <r>
    <x v="62"/>
    <x v="0"/>
    <x v="6"/>
  </r>
  <r>
    <x v="63"/>
    <x v="0"/>
    <x v="2"/>
  </r>
  <r>
    <x v="64"/>
    <x v="0"/>
    <x v="2"/>
  </r>
  <r>
    <x v="65"/>
    <x v="0"/>
    <x v="2"/>
  </r>
  <r>
    <x v="66"/>
    <x v="0"/>
    <x v="0"/>
  </r>
  <r>
    <x v="67"/>
    <x v="0"/>
    <x v="2"/>
  </r>
  <r>
    <x v="68"/>
    <x v="0"/>
    <x v="2"/>
  </r>
  <r>
    <x v="69"/>
    <x v="0"/>
    <x v="2"/>
  </r>
  <r>
    <x v="70"/>
    <x v="0"/>
    <x v="6"/>
  </r>
  <r>
    <x v="71"/>
    <x v="0"/>
    <x v="2"/>
  </r>
  <r>
    <x v="72"/>
    <x v="0"/>
    <x v="2"/>
  </r>
  <r>
    <x v="73"/>
    <x v="0"/>
    <x v="2"/>
  </r>
  <r>
    <x v="74"/>
    <x v="0"/>
    <x v="2"/>
  </r>
  <r>
    <x v="75"/>
    <x v="0"/>
    <x v="20"/>
  </r>
  <r>
    <x v="76"/>
    <x v="0"/>
    <x v="2"/>
  </r>
  <r>
    <x v="77"/>
    <x v="0"/>
    <x v="21"/>
  </r>
  <r>
    <x v="78"/>
    <x v="0"/>
    <x v="2"/>
  </r>
  <r>
    <x v="79"/>
    <x v="0"/>
    <x v="2"/>
  </r>
  <r>
    <x v="80"/>
    <x v="0"/>
    <x v="2"/>
  </r>
  <r>
    <x v="81"/>
    <x v="0"/>
    <x v="22"/>
  </r>
  <r>
    <x v="82"/>
    <x v="0"/>
    <x v="2"/>
  </r>
  <r>
    <x v="83"/>
    <x v="0"/>
    <x v="2"/>
  </r>
  <r>
    <x v="84"/>
    <x v="0"/>
    <x v="2"/>
  </r>
  <r>
    <x v="85"/>
    <x v="0"/>
    <x v="2"/>
  </r>
  <r>
    <x v="86"/>
    <x v="0"/>
    <x v="6"/>
  </r>
  <r>
    <x v="87"/>
    <x v="0"/>
    <x v="2"/>
  </r>
  <r>
    <x v="88"/>
    <x v="0"/>
    <x v="2"/>
  </r>
  <r>
    <x v="89"/>
    <x v="0"/>
    <x v="2"/>
  </r>
  <r>
    <x v="90"/>
    <x v="0"/>
    <x v="2"/>
  </r>
  <r>
    <x v="91"/>
    <x v="0"/>
    <x v="6"/>
  </r>
  <r>
    <x v="92"/>
    <x v="0"/>
    <x v="2"/>
  </r>
  <r>
    <x v="93"/>
    <x v="0"/>
    <x v="2"/>
  </r>
  <r>
    <x v="94"/>
    <x v="0"/>
    <x v="2"/>
  </r>
  <r>
    <x v="95"/>
    <x v="0"/>
    <x v="23"/>
  </r>
  <r>
    <x v="96"/>
    <x v="0"/>
    <x v="2"/>
  </r>
  <r>
    <x v="97"/>
    <x v="0"/>
    <x v="2"/>
  </r>
  <r>
    <x v="98"/>
    <x v="0"/>
    <x v="2"/>
  </r>
  <r>
    <x v="99"/>
    <x v="0"/>
    <x v="2"/>
  </r>
  <r>
    <x v="100"/>
    <x v="0"/>
    <x v="6"/>
  </r>
  <r>
    <x v="101"/>
    <x v="0"/>
    <x v="2"/>
  </r>
  <r>
    <x v="102"/>
    <x v="0"/>
    <x v="2"/>
  </r>
  <r>
    <x v="103"/>
    <x v="0"/>
    <x v="2"/>
  </r>
  <r>
    <x v="104"/>
    <x v="0"/>
    <x v="13"/>
  </r>
  <r>
    <x v="104"/>
    <x v="0"/>
    <x v="24"/>
  </r>
  <r>
    <x v="104"/>
    <x v="1"/>
    <x v="25"/>
  </r>
  <r>
    <x v="104"/>
    <x v="3"/>
    <x v="26"/>
  </r>
  <r>
    <x v="105"/>
    <x v="0"/>
    <x v="27"/>
  </r>
  <r>
    <x v="105"/>
    <x v="0"/>
    <x v="28"/>
  </r>
  <r>
    <x v="105"/>
    <x v="1"/>
    <x v="14"/>
  </r>
  <r>
    <x v="105"/>
    <x v="3"/>
    <x v="7"/>
  </r>
  <r>
    <x v="106"/>
    <x v="1"/>
    <x v="29"/>
  </r>
  <r>
    <x v="106"/>
    <x v="0"/>
    <x v="13"/>
  </r>
  <r>
    <x v="106"/>
    <x v="4"/>
    <x v="30"/>
  </r>
  <r>
    <x v="107"/>
    <x v="0"/>
    <x v="13"/>
  </r>
  <r>
    <x v="107"/>
    <x v="1"/>
    <x v="31"/>
  </r>
  <r>
    <x v="107"/>
    <x v="1"/>
    <x v="14"/>
  </r>
  <r>
    <x v="108"/>
    <x v="5"/>
    <x v="32"/>
  </r>
  <r>
    <x v="108"/>
    <x v="1"/>
    <x v="32"/>
  </r>
  <r>
    <x v="108"/>
    <x v="3"/>
    <x v="7"/>
  </r>
  <r>
    <x v="108"/>
    <x v="6"/>
    <x v="7"/>
  </r>
  <r>
    <x v="108"/>
    <x v="5"/>
    <x v="33"/>
  </r>
  <r>
    <x v="108"/>
    <x v="0"/>
    <x v="13"/>
  </r>
  <r>
    <x v="108"/>
    <x v="0"/>
    <x v="33"/>
  </r>
  <r>
    <x v="109"/>
    <x v="0"/>
    <x v="13"/>
  </r>
  <r>
    <x v="109"/>
    <x v="7"/>
    <x v="34"/>
  </r>
  <r>
    <x v="109"/>
    <x v="6"/>
    <x v="35"/>
  </r>
  <r>
    <x v="109"/>
    <x v="1"/>
    <x v="36"/>
  </r>
  <r>
    <x v="109"/>
    <x v="8"/>
    <x v="37"/>
  </r>
  <r>
    <x v="110"/>
    <x v="1"/>
    <x v="38"/>
  </r>
  <r>
    <x v="110"/>
    <x v="0"/>
    <x v="27"/>
  </r>
  <r>
    <x v="111"/>
    <x v="1"/>
    <x v="39"/>
  </r>
  <r>
    <x v="111"/>
    <x v="0"/>
    <x v="13"/>
  </r>
  <r>
    <x v="112"/>
    <x v="1"/>
    <x v="14"/>
  </r>
  <r>
    <x v="112"/>
    <x v="0"/>
    <x v="13"/>
  </r>
  <r>
    <x v="113"/>
    <x v="1"/>
    <x v="14"/>
  </r>
  <r>
    <x v="113"/>
    <x v="0"/>
    <x v="13"/>
  </r>
  <r>
    <x v="114"/>
    <x v="9"/>
    <x v="7"/>
  </r>
  <r>
    <x v="115"/>
    <x v="10"/>
    <x v="40"/>
  </r>
  <r>
    <x v="116"/>
    <x v="11"/>
    <x v="41"/>
  </r>
  <r>
    <x v="117"/>
    <x v="11"/>
    <x v="42"/>
  </r>
  <r>
    <x v="118"/>
    <x v="10"/>
    <x v="43"/>
  </r>
  <r>
    <x v="119"/>
    <x v="10"/>
    <x v="44"/>
  </r>
  <r>
    <x v="120"/>
    <x v="11"/>
    <x v="45"/>
  </r>
  <r>
    <x v="121"/>
    <x v="11"/>
    <x v="46"/>
  </r>
  <r>
    <x v="121"/>
    <x v="12"/>
    <x v="47"/>
  </r>
  <r>
    <x v="122"/>
    <x v="12"/>
    <x v="48"/>
  </r>
  <r>
    <x v="123"/>
    <x v="12"/>
    <x v="47"/>
  </r>
  <r>
    <x v="124"/>
    <x v="12"/>
    <x v="49"/>
  </r>
  <r>
    <x v="125"/>
    <x v="13"/>
    <x v="50"/>
  </r>
  <r>
    <x v="126"/>
    <x v="10"/>
    <x v="51"/>
  </r>
  <r>
    <x v="127"/>
    <x v="10"/>
    <x v="52"/>
  </r>
  <r>
    <x v="127"/>
    <x v="13"/>
    <x v="53"/>
  </r>
  <r>
    <x v="128"/>
    <x v="10"/>
    <x v="43"/>
  </r>
  <r>
    <x v="128"/>
    <x v="10"/>
    <x v="54"/>
  </r>
  <r>
    <x v="129"/>
    <x v="10"/>
    <x v="55"/>
  </r>
  <r>
    <x v="130"/>
    <x v="12"/>
    <x v="56"/>
  </r>
  <r>
    <x v="131"/>
    <x v="12"/>
    <x v="57"/>
  </r>
  <r>
    <x v="132"/>
    <x v="10"/>
    <x v="58"/>
  </r>
  <r>
    <x v="133"/>
    <x v="10"/>
    <x v="59"/>
  </r>
  <r>
    <x v="134"/>
    <x v="10"/>
    <x v="60"/>
  </r>
  <r>
    <x v="135"/>
    <x v="10"/>
    <x v="61"/>
  </r>
  <r>
    <x v="135"/>
    <x v="13"/>
    <x v="62"/>
  </r>
  <r>
    <x v="136"/>
    <x v="10"/>
    <x v="63"/>
  </r>
  <r>
    <x v="137"/>
    <x v="10"/>
    <x v="54"/>
  </r>
  <r>
    <x v="138"/>
    <x v="13"/>
    <x v="64"/>
  </r>
  <r>
    <x v="139"/>
    <x v="14"/>
    <x v="65"/>
  </r>
  <r>
    <x v="140"/>
    <x v="14"/>
    <x v="66"/>
  </r>
  <r>
    <x v="141"/>
    <x v="15"/>
    <x v="67"/>
  </r>
  <r>
    <x v="142"/>
    <x v="10"/>
    <x v="68"/>
  </r>
  <r>
    <x v="143"/>
    <x v="15"/>
    <x v="69"/>
  </r>
  <r>
    <x v="144"/>
    <x v="10"/>
    <x v="54"/>
  </r>
  <r>
    <x v="145"/>
    <x v="10"/>
    <x v="70"/>
  </r>
  <r>
    <x v="146"/>
    <x v="10"/>
    <x v="28"/>
  </r>
  <r>
    <x v="147"/>
    <x v="10"/>
    <x v="28"/>
  </r>
  <r>
    <x v="148"/>
    <x v="10"/>
    <x v="71"/>
  </r>
  <r>
    <x v="148"/>
    <x v="10"/>
    <x v="72"/>
  </r>
  <r>
    <x v="149"/>
    <x v="10"/>
    <x v="73"/>
  </r>
  <r>
    <x v="150"/>
    <x v="10"/>
    <x v="74"/>
  </r>
  <r>
    <x v="151"/>
    <x v="10"/>
    <x v="75"/>
  </r>
  <r>
    <x v="152"/>
    <x v="15"/>
    <x v="76"/>
  </r>
  <r>
    <x v="153"/>
    <x v="10"/>
    <x v="77"/>
  </r>
  <r>
    <x v="154"/>
    <x v="10"/>
    <x v="78"/>
  </r>
  <r>
    <x v="155"/>
    <x v="10"/>
    <x v="79"/>
  </r>
  <r>
    <x v="156"/>
    <x v="10"/>
    <x v="80"/>
  </r>
  <r>
    <x v="157"/>
    <x v="13"/>
    <x v="81"/>
  </r>
  <r>
    <x v="158"/>
    <x v="10"/>
    <x v="82"/>
  </r>
  <r>
    <x v="159"/>
    <x v="16"/>
    <x v="83"/>
  </r>
  <r>
    <x v="160"/>
    <x v="16"/>
    <x v="83"/>
  </r>
  <r>
    <x v="161"/>
    <x v="16"/>
    <x v="84"/>
  </r>
  <r>
    <x v="162"/>
    <x v="16"/>
    <x v="85"/>
  </r>
  <r>
    <x v="163"/>
    <x v="10"/>
    <x v="78"/>
  </r>
  <r>
    <x v="163"/>
    <x v="17"/>
    <x v="86"/>
  </r>
  <r>
    <x v="164"/>
    <x v="17"/>
    <x v="83"/>
  </r>
  <r>
    <x v="165"/>
    <x v="10"/>
    <x v="78"/>
  </r>
  <r>
    <x v="165"/>
    <x v="16"/>
    <x v="87"/>
  </r>
  <r>
    <x v="166"/>
    <x v="10"/>
    <x v="88"/>
  </r>
  <r>
    <x v="166"/>
    <x v="18"/>
    <x v="89"/>
  </r>
  <r>
    <x v="167"/>
    <x v="10"/>
    <x v="73"/>
  </r>
  <r>
    <x v="167"/>
    <x v="18"/>
    <x v="90"/>
  </r>
  <r>
    <x v="167"/>
    <x v="19"/>
    <x v="91"/>
  </r>
  <r>
    <x v="167"/>
    <x v="19"/>
    <x v="92"/>
  </r>
  <r>
    <x v="168"/>
    <x v="17"/>
    <x v="93"/>
  </r>
  <r>
    <x v="168"/>
    <x v="16"/>
    <x v="94"/>
  </r>
  <r>
    <x v="169"/>
    <x v="17"/>
    <x v="95"/>
  </r>
  <r>
    <x v="169"/>
    <x v="13"/>
    <x v="96"/>
  </r>
  <r>
    <x v="170"/>
    <x v="19"/>
    <x v="97"/>
  </r>
  <r>
    <x v="171"/>
    <x v="13"/>
    <x v="98"/>
  </r>
  <r>
    <x v="171"/>
    <x v="16"/>
    <x v="99"/>
  </r>
  <r>
    <x v="172"/>
    <x v="10"/>
    <x v="77"/>
  </r>
  <r>
    <x v="173"/>
    <x v="10"/>
    <x v="100"/>
  </r>
  <r>
    <x v="173"/>
    <x v="10"/>
    <x v="101"/>
  </r>
  <r>
    <x v="173"/>
    <x v="16"/>
    <x v="102"/>
  </r>
  <r>
    <x v="174"/>
    <x v="10"/>
    <x v="103"/>
  </r>
  <r>
    <x v="174"/>
    <x v="17"/>
    <x v="104"/>
  </r>
  <r>
    <x v="174"/>
    <x v="20"/>
    <x v="105"/>
  </r>
  <r>
    <x v="174"/>
    <x v="17"/>
    <x v="104"/>
  </r>
  <r>
    <x v="174"/>
    <x v="17"/>
    <x v="104"/>
  </r>
  <r>
    <x v="175"/>
    <x v="19"/>
    <x v="106"/>
  </r>
  <r>
    <x v="176"/>
    <x v="19"/>
    <x v="107"/>
  </r>
  <r>
    <x v="177"/>
    <x v="19"/>
    <x v="108"/>
  </r>
  <r>
    <x v="178"/>
    <x v="17"/>
    <x v="109"/>
  </r>
  <r>
    <x v="178"/>
    <x v="17"/>
    <x v="110"/>
  </r>
  <r>
    <x v="178"/>
    <x v="17"/>
    <x v="111"/>
  </r>
  <r>
    <x v="178"/>
    <x v="17"/>
    <x v="104"/>
  </r>
  <r>
    <x v="178"/>
    <x v="16"/>
    <x v="112"/>
  </r>
  <r>
    <x v="179"/>
    <x v="16"/>
    <x v="112"/>
  </r>
  <r>
    <x v="179"/>
    <x v="17"/>
    <x v="113"/>
  </r>
  <r>
    <x v="179"/>
    <x v="16"/>
    <x v="114"/>
  </r>
  <r>
    <x v="180"/>
    <x v="16"/>
    <x v="115"/>
  </r>
  <r>
    <x v="180"/>
    <x v="21"/>
    <x v="116"/>
  </r>
  <r>
    <x v="181"/>
    <x v="16"/>
    <x v="117"/>
  </r>
  <r>
    <x v="181"/>
    <x v="16"/>
    <x v="118"/>
  </r>
  <r>
    <x v="181"/>
    <x v="13"/>
    <x v="119"/>
  </r>
  <r>
    <x v="181"/>
    <x v="21"/>
    <x v="120"/>
  </r>
  <r>
    <x v="182"/>
    <x v="20"/>
    <x v="121"/>
  </r>
  <r>
    <x v="183"/>
    <x v="17"/>
    <x v="122"/>
  </r>
  <r>
    <x v="184"/>
    <x v="17"/>
    <x v="123"/>
  </r>
  <r>
    <x v="184"/>
    <x v="21"/>
    <x v="124"/>
  </r>
  <r>
    <x v="185"/>
    <x v="10"/>
    <x v="125"/>
  </r>
  <r>
    <x v="186"/>
    <x v="21"/>
    <x v="126"/>
  </r>
  <r>
    <x v="187"/>
    <x v="19"/>
    <x v="127"/>
  </r>
  <r>
    <x v="187"/>
    <x v="19"/>
    <x v="128"/>
  </r>
  <r>
    <x v="187"/>
    <x v="19"/>
    <x v="129"/>
  </r>
  <r>
    <x v="187"/>
    <x v="19"/>
    <x v="130"/>
  </r>
  <r>
    <x v="188"/>
    <x v="19"/>
    <x v="131"/>
  </r>
  <r>
    <x v="188"/>
    <x v="19"/>
    <x v="132"/>
  </r>
  <r>
    <x v="189"/>
    <x v="19"/>
    <x v="133"/>
  </r>
  <r>
    <x v="189"/>
    <x v="19"/>
    <x v="134"/>
  </r>
  <r>
    <x v="189"/>
    <x v="19"/>
    <x v="135"/>
  </r>
  <r>
    <x v="189"/>
    <x v="19"/>
    <x v="136"/>
  </r>
  <r>
    <x v="189"/>
    <x v="19"/>
    <x v="137"/>
  </r>
  <r>
    <x v="189"/>
    <x v="19"/>
    <x v="138"/>
  </r>
  <r>
    <x v="190"/>
    <x v="19"/>
    <x v="139"/>
  </r>
  <r>
    <x v="191"/>
    <x v="19"/>
    <x v="140"/>
  </r>
  <r>
    <x v="191"/>
    <x v="19"/>
    <x v="141"/>
  </r>
  <r>
    <x v="191"/>
    <x v="19"/>
    <x v="142"/>
  </r>
  <r>
    <x v="191"/>
    <x v="19"/>
    <x v="140"/>
  </r>
  <r>
    <x v="192"/>
    <x v="19"/>
    <x v="143"/>
  </r>
  <r>
    <x v="193"/>
    <x v="21"/>
    <x v="144"/>
  </r>
  <r>
    <x v="193"/>
    <x v="19"/>
    <x v="145"/>
  </r>
  <r>
    <x v="194"/>
    <x v="21"/>
    <x v="146"/>
  </r>
  <r>
    <x v="195"/>
    <x v="21"/>
    <x v="147"/>
  </r>
  <r>
    <x v="196"/>
    <x v="21"/>
    <x v="148"/>
  </r>
  <r>
    <x v="196"/>
    <x v="21"/>
    <x v="149"/>
  </r>
  <r>
    <x v="197"/>
    <x v="21"/>
    <x v="150"/>
  </r>
  <r>
    <x v="197"/>
    <x v="21"/>
    <x v="151"/>
  </r>
  <r>
    <x v="198"/>
    <x v="19"/>
    <x v="152"/>
  </r>
  <r>
    <x v="198"/>
    <x v="13"/>
    <x v="153"/>
  </r>
  <r>
    <x v="199"/>
    <x v="19"/>
    <x v="154"/>
  </r>
  <r>
    <x v="200"/>
    <x v="21"/>
    <x v="155"/>
  </r>
  <r>
    <x v="200"/>
    <x v="21"/>
    <x v="156"/>
  </r>
  <r>
    <x v="200"/>
    <x v="19"/>
    <x v="157"/>
  </r>
  <r>
    <x v="201"/>
    <x v="10"/>
    <x v="158"/>
  </r>
  <r>
    <x v="202"/>
    <x v="10"/>
    <x v="159"/>
  </r>
  <r>
    <x v="202"/>
    <x v="22"/>
    <x v="160"/>
  </r>
  <r>
    <x v="203"/>
    <x v="19"/>
    <x v="161"/>
  </r>
  <r>
    <x v="203"/>
    <x v="19"/>
    <x v="162"/>
  </r>
  <r>
    <x v="204"/>
    <x v="10"/>
    <x v="163"/>
  </r>
  <r>
    <x v="205"/>
    <x v="19"/>
    <x v="164"/>
  </r>
  <r>
    <x v="206"/>
    <x v="19"/>
    <x v="165"/>
  </r>
  <r>
    <x v="206"/>
    <x v="21"/>
    <x v="166"/>
  </r>
  <r>
    <x v="207"/>
    <x v="10"/>
    <x v="167"/>
  </r>
  <r>
    <x v="207"/>
    <x v="10"/>
    <x v="40"/>
  </r>
  <r>
    <x v="207"/>
    <x v="10"/>
    <x v="168"/>
  </r>
  <r>
    <x v="207"/>
    <x v="21"/>
    <x v="169"/>
  </r>
  <r>
    <x v="207"/>
    <x v="23"/>
    <x v="170"/>
  </r>
  <r>
    <x v="207"/>
    <x v="15"/>
    <x v="171"/>
  </r>
  <r>
    <x v="208"/>
    <x v="15"/>
    <x v="172"/>
  </r>
  <r>
    <x v="209"/>
    <x v="10"/>
    <x v="173"/>
  </r>
  <r>
    <x v="209"/>
    <x v="23"/>
    <x v="174"/>
  </r>
  <r>
    <x v="210"/>
    <x v="19"/>
    <x v="175"/>
  </r>
  <r>
    <x v="210"/>
    <x v="22"/>
    <x v="176"/>
  </r>
  <r>
    <x v="211"/>
    <x v="10"/>
    <x v="177"/>
  </r>
  <r>
    <x v="212"/>
    <x v="10"/>
    <x v="54"/>
  </r>
  <r>
    <x v="213"/>
    <x v="23"/>
    <x v="178"/>
  </r>
  <r>
    <x v="213"/>
    <x v="21"/>
    <x v="179"/>
  </r>
  <r>
    <x v="214"/>
    <x v="23"/>
    <x v="180"/>
  </r>
  <r>
    <x v="215"/>
    <x v="15"/>
    <x v="181"/>
  </r>
  <r>
    <x v="215"/>
    <x v="21"/>
    <x v="182"/>
  </r>
  <r>
    <x v="215"/>
    <x v="19"/>
    <x v="183"/>
  </r>
  <r>
    <x v="215"/>
    <x v="22"/>
    <x v="184"/>
  </r>
  <r>
    <x v="215"/>
    <x v="23"/>
    <x v="185"/>
  </r>
  <r>
    <x v="215"/>
    <x v="24"/>
    <x v="186"/>
  </r>
  <r>
    <x v="215"/>
    <x v="24"/>
    <x v="187"/>
  </r>
  <r>
    <x v="215"/>
    <x v="19"/>
    <x v="188"/>
  </r>
  <r>
    <x v="215"/>
    <x v="21"/>
    <x v="189"/>
  </r>
  <r>
    <x v="215"/>
    <x v="24"/>
    <x v="190"/>
  </r>
  <r>
    <x v="215"/>
    <x v="21"/>
    <x v="191"/>
  </r>
  <r>
    <x v="216"/>
    <x v="19"/>
    <x v="192"/>
  </r>
  <r>
    <x v="216"/>
    <x v="15"/>
    <x v="193"/>
  </r>
  <r>
    <x v="216"/>
    <x v="22"/>
    <x v="194"/>
  </r>
  <r>
    <x v="216"/>
    <x v="21"/>
    <x v="195"/>
  </r>
  <r>
    <x v="216"/>
    <x v="21"/>
    <x v="196"/>
  </r>
  <r>
    <x v="216"/>
    <x v="21"/>
    <x v="197"/>
  </r>
  <r>
    <x v="216"/>
    <x v="21"/>
    <x v="198"/>
  </r>
  <r>
    <x v="216"/>
    <x v="21"/>
    <x v="197"/>
  </r>
  <r>
    <x v="217"/>
    <x v="24"/>
    <x v="199"/>
  </r>
  <r>
    <x v="217"/>
    <x v="21"/>
    <x v="200"/>
  </r>
  <r>
    <x v="217"/>
    <x v="24"/>
    <x v="201"/>
  </r>
  <r>
    <x v="217"/>
    <x v="24"/>
    <x v="202"/>
  </r>
  <r>
    <x v="217"/>
    <x v="21"/>
    <x v="203"/>
  </r>
  <r>
    <x v="217"/>
    <x v="24"/>
    <x v="204"/>
  </r>
  <r>
    <x v="217"/>
    <x v="19"/>
    <x v="205"/>
  </r>
  <r>
    <x v="217"/>
    <x v="19"/>
    <x v="206"/>
  </r>
  <r>
    <x v="217"/>
    <x v="25"/>
    <x v="207"/>
  </r>
  <r>
    <x v="217"/>
    <x v="23"/>
    <x v="208"/>
  </r>
  <r>
    <x v="218"/>
    <x v="25"/>
    <x v="209"/>
  </r>
  <r>
    <x v="218"/>
    <x v="21"/>
    <x v="210"/>
  </r>
  <r>
    <x v="218"/>
    <x v="26"/>
    <x v="211"/>
  </r>
  <r>
    <x v="218"/>
    <x v="27"/>
    <x v="212"/>
  </r>
  <r>
    <x v="219"/>
    <x v="27"/>
    <x v="213"/>
  </r>
  <r>
    <x v="219"/>
    <x v="21"/>
    <x v="214"/>
  </r>
  <r>
    <x v="219"/>
    <x v="26"/>
    <x v="215"/>
  </r>
  <r>
    <x v="219"/>
    <x v="21"/>
    <x v="216"/>
  </r>
  <r>
    <x v="219"/>
    <x v="25"/>
    <x v="217"/>
  </r>
  <r>
    <x v="220"/>
    <x v="21"/>
    <x v="218"/>
  </r>
  <r>
    <x v="221"/>
    <x v="28"/>
    <x v="219"/>
  </r>
  <r>
    <x v="222"/>
    <x v="23"/>
    <x v="220"/>
  </r>
  <r>
    <x v="222"/>
    <x v="28"/>
    <x v="221"/>
  </r>
  <r>
    <x v="223"/>
    <x v="10"/>
    <x v="103"/>
  </r>
  <r>
    <x v="223"/>
    <x v="25"/>
    <x v="222"/>
  </r>
  <r>
    <x v="224"/>
    <x v="29"/>
    <x v="7"/>
  </r>
  <r>
    <x v="224"/>
    <x v="25"/>
    <x v="223"/>
  </r>
  <r>
    <x v="225"/>
    <x v="30"/>
    <x v="224"/>
  </r>
  <r>
    <x v="225"/>
    <x v="31"/>
    <x v="225"/>
  </r>
  <r>
    <x v="225"/>
    <x v="30"/>
    <x v="226"/>
  </r>
  <r>
    <x v="226"/>
    <x v="31"/>
    <x v="227"/>
  </r>
  <r>
    <x v="226"/>
    <x v="21"/>
    <x v="228"/>
  </r>
  <r>
    <x v="226"/>
    <x v="31"/>
    <x v="229"/>
  </r>
  <r>
    <x v="226"/>
    <x v="28"/>
    <x v="230"/>
  </r>
  <r>
    <x v="227"/>
    <x v="31"/>
    <x v="231"/>
  </r>
  <r>
    <x v="227"/>
    <x v="31"/>
    <x v="232"/>
  </r>
  <r>
    <x v="227"/>
    <x v="31"/>
    <x v="233"/>
  </r>
  <r>
    <x v="227"/>
    <x v="21"/>
    <x v="234"/>
  </r>
  <r>
    <x v="228"/>
    <x v="31"/>
    <x v="235"/>
  </r>
  <r>
    <x v="229"/>
    <x v="21"/>
    <x v="236"/>
  </r>
  <r>
    <x v="229"/>
    <x v="21"/>
    <x v="237"/>
  </r>
  <r>
    <x v="229"/>
    <x v="31"/>
    <x v="231"/>
  </r>
  <r>
    <x v="229"/>
    <x v="31"/>
    <x v="238"/>
  </r>
  <r>
    <x v="230"/>
    <x v="10"/>
    <x v="239"/>
  </r>
  <r>
    <x v="230"/>
    <x v="31"/>
    <x v="240"/>
  </r>
  <r>
    <x v="230"/>
    <x v="31"/>
    <x v="241"/>
  </r>
  <r>
    <x v="230"/>
    <x v="30"/>
    <x v="242"/>
  </r>
  <r>
    <x v="230"/>
    <x v="25"/>
    <x v="243"/>
  </r>
  <r>
    <x v="231"/>
    <x v="29"/>
    <x v="7"/>
  </r>
  <r>
    <x v="231"/>
    <x v="31"/>
    <x v="244"/>
  </r>
  <r>
    <x v="231"/>
    <x v="25"/>
    <x v="245"/>
  </r>
  <r>
    <x v="232"/>
    <x v="25"/>
    <x v="246"/>
  </r>
  <r>
    <x v="232"/>
    <x v="25"/>
    <x v="247"/>
  </r>
  <r>
    <x v="233"/>
    <x v="29"/>
    <x v="7"/>
  </r>
  <r>
    <x v="233"/>
    <x v="29"/>
    <x v="7"/>
  </r>
  <r>
    <x v="233"/>
    <x v="25"/>
    <x v="248"/>
  </r>
  <r>
    <x v="234"/>
    <x v="25"/>
    <x v="249"/>
  </r>
  <r>
    <x v="235"/>
    <x v="25"/>
    <x v="250"/>
  </r>
  <r>
    <x v="235"/>
    <x v="26"/>
    <x v="251"/>
  </r>
  <r>
    <x v="236"/>
    <x v="25"/>
    <x v="252"/>
  </r>
  <r>
    <x v="236"/>
    <x v="19"/>
    <x v="253"/>
  </r>
  <r>
    <x v="236"/>
    <x v="19"/>
    <x v="254"/>
  </r>
  <r>
    <x v="236"/>
    <x v="19"/>
    <x v="255"/>
  </r>
  <r>
    <x v="236"/>
    <x v="26"/>
    <x v="256"/>
  </r>
  <r>
    <x v="237"/>
    <x v="19"/>
    <x v="257"/>
  </r>
  <r>
    <x v="237"/>
    <x v="31"/>
    <x v="258"/>
  </r>
  <r>
    <x v="238"/>
    <x v="26"/>
    <x v="259"/>
  </r>
  <r>
    <x v="238"/>
    <x v="31"/>
    <x v="260"/>
  </r>
  <r>
    <x v="239"/>
    <x v="31"/>
    <x v="261"/>
  </r>
  <r>
    <x v="240"/>
    <x v="26"/>
    <x v="262"/>
  </r>
  <r>
    <x v="240"/>
    <x v="31"/>
    <x v="263"/>
  </r>
  <r>
    <x v="241"/>
    <x v="31"/>
    <x v="264"/>
  </r>
  <r>
    <x v="241"/>
    <x v="31"/>
    <x v="265"/>
  </r>
  <r>
    <x v="241"/>
    <x v="21"/>
    <x v="266"/>
  </r>
  <r>
    <x v="241"/>
    <x v="31"/>
    <x v="267"/>
  </r>
  <r>
    <x v="242"/>
    <x v="31"/>
    <x v="268"/>
  </r>
  <r>
    <x v="243"/>
    <x v="10"/>
    <x v="269"/>
  </r>
  <r>
    <x v="243"/>
    <x v="31"/>
    <x v="270"/>
  </r>
  <r>
    <x v="243"/>
    <x v="21"/>
    <x v="271"/>
  </r>
  <r>
    <x v="244"/>
    <x v="31"/>
    <x v="272"/>
  </r>
  <r>
    <x v="245"/>
    <x v="31"/>
    <x v="273"/>
  </r>
  <r>
    <x v="245"/>
    <x v="31"/>
    <x v="274"/>
  </r>
  <r>
    <x v="246"/>
    <x v="19"/>
    <x v="7"/>
  </r>
  <r>
    <x v="246"/>
    <x v="28"/>
    <x v="7"/>
  </r>
  <r>
    <x v="246"/>
    <x v="21"/>
    <x v="7"/>
  </r>
  <r>
    <x v="246"/>
    <x v="26"/>
    <x v="7"/>
  </r>
  <r>
    <x v="246"/>
    <x v="21"/>
    <x v="7"/>
  </r>
  <r>
    <x v="246"/>
    <x v="26"/>
    <x v="7"/>
  </r>
  <r>
    <x v="246"/>
    <x v="21"/>
    <x v="7"/>
  </r>
  <r>
    <x v="246"/>
    <x v="21"/>
    <x v="7"/>
  </r>
  <r>
    <x v="246"/>
    <x v="28"/>
    <x v="7"/>
  </r>
  <r>
    <x v="246"/>
    <x v="19"/>
    <x v="7"/>
  </r>
  <r>
    <x v="246"/>
    <x v="31"/>
    <x v="275"/>
  </r>
  <r>
    <x v="246"/>
    <x v="25"/>
    <x v="276"/>
  </r>
  <r>
    <x v="247"/>
    <x v="32"/>
    <x v="277"/>
  </r>
  <r>
    <x v="247"/>
    <x v="10"/>
    <x v="278"/>
  </r>
  <r>
    <x v="247"/>
    <x v="29"/>
    <x v="7"/>
  </r>
  <r>
    <x v="247"/>
    <x v="25"/>
    <x v="279"/>
  </r>
  <r>
    <x v="248"/>
    <x v="10"/>
    <x v="280"/>
  </r>
  <r>
    <x v="248"/>
    <x v="21"/>
    <x v="7"/>
  </r>
  <r>
    <x v="248"/>
    <x v="32"/>
    <x v="281"/>
  </r>
  <r>
    <x v="248"/>
    <x v="10"/>
    <x v="282"/>
  </r>
  <r>
    <x v="248"/>
    <x v="10"/>
    <x v="283"/>
  </r>
  <r>
    <x v="248"/>
    <x v="10"/>
    <x v="284"/>
  </r>
  <r>
    <x v="248"/>
    <x v="10"/>
    <x v="285"/>
  </r>
  <r>
    <x v="248"/>
    <x v="21"/>
    <x v="7"/>
  </r>
  <r>
    <x v="249"/>
    <x v="24"/>
    <x v="286"/>
  </r>
  <r>
    <x v="249"/>
    <x v="10"/>
    <x v="287"/>
  </r>
  <r>
    <x v="250"/>
    <x v="33"/>
    <x v="7"/>
  </r>
  <r>
    <x v="250"/>
    <x v="24"/>
    <x v="288"/>
  </r>
  <r>
    <x v="250"/>
    <x v="24"/>
    <x v="289"/>
  </r>
  <r>
    <x v="250"/>
    <x v="34"/>
    <x v="290"/>
  </r>
  <r>
    <x v="250"/>
    <x v="34"/>
    <x v="290"/>
  </r>
  <r>
    <x v="250"/>
    <x v="24"/>
    <x v="291"/>
  </r>
  <r>
    <x v="250"/>
    <x v="34"/>
    <x v="292"/>
  </r>
  <r>
    <x v="250"/>
    <x v="10"/>
    <x v="293"/>
  </r>
  <r>
    <x v="250"/>
    <x v="10"/>
    <x v="293"/>
  </r>
  <r>
    <x v="250"/>
    <x v="10"/>
    <x v="294"/>
  </r>
  <r>
    <x v="250"/>
    <x v="10"/>
    <x v="295"/>
  </r>
  <r>
    <x v="250"/>
    <x v="10"/>
    <x v="296"/>
  </r>
  <r>
    <x v="250"/>
    <x v="10"/>
    <x v="297"/>
  </r>
  <r>
    <x v="250"/>
    <x v="10"/>
    <x v="298"/>
  </r>
  <r>
    <x v="250"/>
    <x v="10"/>
    <x v="299"/>
  </r>
  <r>
    <x v="251"/>
    <x v="33"/>
    <x v="7"/>
  </r>
  <r>
    <x v="251"/>
    <x v="33"/>
    <x v="7"/>
  </r>
  <r>
    <x v="252"/>
    <x v="34"/>
    <x v="300"/>
  </r>
  <r>
    <x v="252"/>
    <x v="34"/>
    <x v="301"/>
  </r>
  <r>
    <x v="252"/>
    <x v="34"/>
    <x v="302"/>
  </r>
  <r>
    <x v="252"/>
    <x v="34"/>
    <x v="303"/>
  </r>
  <r>
    <x v="252"/>
    <x v="10"/>
    <x v="304"/>
  </r>
  <r>
    <x v="252"/>
    <x v="10"/>
    <x v="305"/>
  </r>
  <r>
    <x v="252"/>
    <x v="10"/>
    <x v="306"/>
  </r>
  <r>
    <x v="252"/>
    <x v="10"/>
    <x v="307"/>
  </r>
  <r>
    <x v="252"/>
    <x v="10"/>
    <x v="308"/>
  </r>
  <r>
    <x v="252"/>
    <x v="10"/>
    <x v="309"/>
  </r>
  <r>
    <x v="252"/>
    <x v="10"/>
    <x v="310"/>
  </r>
  <r>
    <x v="252"/>
    <x v="10"/>
    <x v="311"/>
  </r>
  <r>
    <x v="252"/>
    <x v="10"/>
    <x v="312"/>
  </r>
  <r>
    <x v="253"/>
    <x v="34"/>
    <x v="313"/>
  </r>
  <r>
    <x v="253"/>
    <x v="10"/>
    <x v="314"/>
  </r>
  <r>
    <x v="253"/>
    <x v="33"/>
    <x v="7"/>
  </r>
  <r>
    <x v="253"/>
    <x v="28"/>
    <x v="7"/>
  </r>
  <r>
    <x v="253"/>
    <x v="31"/>
    <x v="7"/>
  </r>
  <r>
    <x v="254"/>
    <x v="28"/>
    <x v="7"/>
  </r>
  <r>
    <x v="254"/>
    <x v="28"/>
    <x v="7"/>
  </r>
  <r>
    <x v="254"/>
    <x v="31"/>
    <x v="315"/>
  </r>
  <r>
    <x v="255"/>
    <x v="34"/>
    <x v="316"/>
  </r>
  <r>
    <x v="255"/>
    <x v="11"/>
    <x v="317"/>
  </r>
  <r>
    <x v="255"/>
    <x v="34"/>
    <x v="318"/>
  </r>
  <r>
    <x v="255"/>
    <x v="10"/>
    <x v="319"/>
  </r>
  <r>
    <x v="255"/>
    <x v="10"/>
    <x v="320"/>
  </r>
  <r>
    <x v="255"/>
    <x v="10"/>
    <x v="321"/>
  </r>
  <r>
    <x v="255"/>
    <x v="10"/>
    <x v="322"/>
  </r>
  <r>
    <x v="255"/>
    <x v="10"/>
    <x v="323"/>
  </r>
  <r>
    <x v="255"/>
    <x v="10"/>
    <x v="302"/>
  </r>
  <r>
    <x v="255"/>
    <x v="10"/>
    <x v="324"/>
  </r>
  <r>
    <x v="255"/>
    <x v="10"/>
    <x v="303"/>
  </r>
  <r>
    <x v="255"/>
    <x v="10"/>
    <x v="325"/>
  </r>
  <r>
    <x v="255"/>
    <x v="10"/>
    <x v="326"/>
  </r>
  <r>
    <x v="256"/>
    <x v="34"/>
    <x v="327"/>
  </r>
  <r>
    <x v="256"/>
    <x v="11"/>
    <x v="328"/>
  </r>
  <r>
    <x v="256"/>
    <x v="34"/>
    <x v="329"/>
  </r>
  <r>
    <x v="256"/>
    <x v="10"/>
    <x v="330"/>
  </r>
  <r>
    <x v="256"/>
    <x v="10"/>
    <x v="331"/>
  </r>
  <r>
    <x v="256"/>
    <x v="10"/>
    <x v="332"/>
  </r>
  <r>
    <x v="256"/>
    <x v="10"/>
    <x v="333"/>
  </r>
  <r>
    <x v="256"/>
    <x v="10"/>
    <x v="334"/>
  </r>
  <r>
    <x v="256"/>
    <x v="10"/>
    <x v="335"/>
  </r>
  <r>
    <x v="256"/>
    <x v="10"/>
    <x v="336"/>
  </r>
  <r>
    <x v="256"/>
    <x v="10"/>
    <x v="337"/>
  </r>
  <r>
    <x v="257"/>
    <x v="34"/>
    <x v="338"/>
  </r>
  <r>
    <x v="257"/>
    <x v="10"/>
    <x v="339"/>
  </r>
  <r>
    <x v="257"/>
    <x v="10"/>
    <x v="340"/>
  </r>
  <r>
    <x v="257"/>
    <x v="10"/>
    <x v="341"/>
  </r>
  <r>
    <x v="257"/>
    <x v="10"/>
    <x v="342"/>
  </r>
  <r>
    <x v="258"/>
    <x v="11"/>
    <x v="343"/>
  </r>
  <r>
    <x v="258"/>
    <x v="34"/>
    <x v="344"/>
  </r>
  <r>
    <x v="258"/>
    <x v="10"/>
    <x v="345"/>
  </r>
  <r>
    <x v="258"/>
    <x v="10"/>
    <x v="346"/>
  </r>
  <r>
    <x v="259"/>
    <x v="34"/>
    <x v="347"/>
  </r>
  <r>
    <x v="259"/>
    <x v="34"/>
    <x v="348"/>
  </r>
  <r>
    <x v="259"/>
    <x v="34"/>
    <x v="349"/>
  </r>
  <r>
    <x v="259"/>
    <x v="10"/>
    <x v="350"/>
  </r>
  <r>
    <x v="259"/>
    <x v="10"/>
    <x v="351"/>
  </r>
  <r>
    <x v="259"/>
    <x v="10"/>
    <x v="352"/>
  </r>
  <r>
    <x v="259"/>
    <x v="10"/>
    <x v="353"/>
  </r>
  <r>
    <x v="260"/>
    <x v="11"/>
    <x v="354"/>
  </r>
  <r>
    <x v="260"/>
    <x v="10"/>
    <x v="355"/>
  </r>
  <r>
    <x v="260"/>
    <x v="10"/>
    <x v="356"/>
  </r>
  <r>
    <x v="260"/>
    <x v="10"/>
    <x v="357"/>
  </r>
  <r>
    <x v="260"/>
    <x v="10"/>
    <x v="358"/>
  </r>
  <r>
    <x v="261"/>
    <x v="21"/>
    <x v="359"/>
  </r>
  <r>
    <x v="261"/>
    <x v="10"/>
    <x v="360"/>
  </r>
  <r>
    <x v="261"/>
    <x v="10"/>
    <x v="361"/>
  </r>
  <r>
    <x v="261"/>
    <x v="10"/>
    <x v="362"/>
  </r>
  <r>
    <x v="261"/>
    <x v="10"/>
    <x v="344"/>
  </r>
  <r>
    <x v="261"/>
    <x v="10"/>
    <x v="363"/>
  </r>
  <r>
    <x v="261"/>
    <x v="10"/>
    <x v="364"/>
  </r>
  <r>
    <x v="262"/>
    <x v="34"/>
    <x v="365"/>
  </r>
  <r>
    <x v="262"/>
    <x v="21"/>
    <x v="366"/>
  </r>
  <r>
    <x v="262"/>
    <x v="10"/>
    <x v="367"/>
  </r>
  <r>
    <x v="262"/>
    <x v="10"/>
    <x v="368"/>
  </r>
  <r>
    <x v="262"/>
    <x v="10"/>
    <x v="369"/>
  </r>
  <r>
    <x v="262"/>
    <x v="10"/>
    <x v="349"/>
  </r>
  <r>
    <x v="263"/>
    <x v="19"/>
    <x v="370"/>
  </r>
  <r>
    <x v="264"/>
    <x v="10"/>
    <x v="371"/>
  </r>
  <r>
    <x v="265"/>
    <x v="26"/>
    <x v="372"/>
  </r>
  <r>
    <x v="265"/>
    <x v="34"/>
    <x v="373"/>
  </r>
  <r>
    <x v="265"/>
    <x v="34"/>
    <x v="374"/>
  </r>
  <r>
    <x v="266"/>
    <x v="21"/>
    <x v="375"/>
  </r>
  <r>
    <x v="266"/>
    <x v="21"/>
    <x v="376"/>
  </r>
  <r>
    <x v="267"/>
    <x v="25"/>
    <x v="377"/>
  </r>
  <r>
    <x v="268"/>
    <x v="21"/>
    <x v="378"/>
  </r>
  <r>
    <x v="269"/>
    <x v="25"/>
    <x v="379"/>
  </r>
  <r>
    <x v="269"/>
    <x v="28"/>
    <x v="7"/>
  </r>
  <r>
    <x v="269"/>
    <x v="10"/>
    <x v="103"/>
  </r>
  <r>
    <x v="269"/>
    <x v="28"/>
    <x v="7"/>
  </r>
  <r>
    <x v="269"/>
    <x v="25"/>
    <x v="380"/>
  </r>
  <r>
    <x v="269"/>
    <x v="25"/>
    <x v="381"/>
  </r>
  <r>
    <x v="270"/>
    <x v="25"/>
    <x v="7"/>
  </r>
  <r>
    <x v="270"/>
    <x v="29"/>
    <x v="7"/>
  </r>
  <r>
    <x v="270"/>
    <x v="25"/>
    <x v="7"/>
  </r>
  <r>
    <x v="270"/>
    <x v="25"/>
    <x v="382"/>
  </r>
  <r>
    <x v="271"/>
    <x v="25"/>
    <x v="383"/>
  </r>
  <r>
    <x v="272"/>
    <x v="25"/>
    <x v="384"/>
  </r>
  <r>
    <x v="273"/>
    <x v="25"/>
    <x v="385"/>
  </r>
  <r>
    <x v="274"/>
    <x v="21"/>
    <x v="386"/>
  </r>
  <r>
    <x v="274"/>
    <x v="21"/>
    <x v="387"/>
  </r>
  <r>
    <x v="274"/>
    <x v="21"/>
    <x v="388"/>
  </r>
  <r>
    <x v="274"/>
    <x v="21"/>
    <x v="389"/>
  </r>
  <r>
    <x v="274"/>
    <x v="21"/>
    <x v="390"/>
  </r>
  <r>
    <x v="274"/>
    <x v="32"/>
    <x v="391"/>
  </r>
  <r>
    <x v="274"/>
    <x v="10"/>
    <x v="392"/>
  </r>
  <r>
    <x v="274"/>
    <x v="10"/>
    <x v="393"/>
  </r>
  <r>
    <x v="274"/>
    <x v="10"/>
    <x v="394"/>
  </r>
  <r>
    <x v="274"/>
    <x v="10"/>
    <x v="386"/>
  </r>
  <r>
    <x v="274"/>
    <x v="10"/>
    <x v="387"/>
  </r>
  <r>
    <x v="274"/>
    <x v="21"/>
    <x v="395"/>
  </r>
  <r>
    <x v="274"/>
    <x v="28"/>
    <x v="396"/>
  </r>
  <r>
    <x v="274"/>
    <x v="25"/>
    <x v="397"/>
  </r>
  <r>
    <x v="274"/>
    <x v="28"/>
    <x v="398"/>
  </r>
  <r>
    <x v="275"/>
    <x v="21"/>
    <x v="399"/>
  </r>
  <r>
    <x v="275"/>
    <x v="28"/>
    <x v="400"/>
  </r>
  <r>
    <x v="275"/>
    <x v="28"/>
    <x v="401"/>
  </r>
  <r>
    <x v="275"/>
    <x v="28"/>
    <x v="402"/>
  </r>
  <r>
    <x v="275"/>
    <x v="25"/>
    <x v="403"/>
  </r>
  <r>
    <x v="276"/>
    <x v="33"/>
    <x v="404"/>
  </r>
  <r>
    <x v="277"/>
    <x v="33"/>
    <x v="7"/>
  </r>
  <r>
    <x v="277"/>
    <x v="28"/>
    <x v="7"/>
  </r>
  <r>
    <x v="277"/>
    <x v="31"/>
    <x v="7"/>
  </r>
  <r>
    <x v="277"/>
    <x v="28"/>
    <x v="405"/>
  </r>
  <r>
    <x v="278"/>
    <x v="31"/>
    <x v="406"/>
  </r>
  <r>
    <x v="278"/>
    <x v="28"/>
    <x v="407"/>
  </r>
  <r>
    <x v="279"/>
    <x v="32"/>
    <x v="408"/>
  </r>
  <r>
    <x v="279"/>
    <x v="10"/>
    <x v="409"/>
  </r>
  <r>
    <x v="279"/>
    <x v="10"/>
    <x v="391"/>
  </r>
  <r>
    <x v="280"/>
    <x v="33"/>
    <x v="7"/>
  </r>
  <r>
    <x v="280"/>
    <x v="33"/>
    <x v="7"/>
  </r>
  <r>
    <x v="280"/>
    <x v="33"/>
    <x v="7"/>
  </r>
  <r>
    <x v="281"/>
    <x v="10"/>
    <x v="410"/>
  </r>
  <r>
    <x v="281"/>
    <x v="10"/>
    <x v="411"/>
  </r>
  <r>
    <x v="281"/>
    <x v="10"/>
    <x v="412"/>
  </r>
  <r>
    <x v="281"/>
    <x v="10"/>
    <x v="413"/>
  </r>
  <r>
    <x v="281"/>
    <x v="25"/>
    <x v="414"/>
  </r>
  <r>
    <x v="282"/>
    <x v="35"/>
    <x v="415"/>
  </r>
  <r>
    <x v="282"/>
    <x v="10"/>
    <x v="416"/>
  </r>
  <r>
    <x v="282"/>
    <x v="10"/>
    <x v="417"/>
  </r>
  <r>
    <x v="283"/>
    <x v="29"/>
    <x v="7"/>
  </r>
  <r>
    <x v="283"/>
    <x v="25"/>
    <x v="418"/>
  </r>
  <r>
    <x v="284"/>
    <x v="10"/>
    <x v="419"/>
  </r>
  <r>
    <x v="285"/>
    <x v="35"/>
    <x v="420"/>
  </r>
  <r>
    <x v="285"/>
    <x v="10"/>
    <x v="421"/>
  </r>
  <r>
    <x v="285"/>
    <x v="10"/>
    <x v="422"/>
  </r>
  <r>
    <x v="285"/>
    <x v="10"/>
    <x v="423"/>
  </r>
  <r>
    <x v="286"/>
    <x v="24"/>
    <x v="424"/>
  </r>
  <r>
    <x v="286"/>
    <x v="24"/>
    <x v="425"/>
  </r>
  <r>
    <x v="286"/>
    <x v="10"/>
    <x v="426"/>
  </r>
  <r>
    <x v="286"/>
    <x v="10"/>
    <x v="427"/>
  </r>
  <r>
    <x v="287"/>
    <x v="10"/>
    <x v="428"/>
  </r>
  <r>
    <x v="288"/>
    <x v="28"/>
    <x v="7"/>
  </r>
  <r>
    <x v="288"/>
    <x v="32"/>
    <x v="429"/>
  </r>
  <r>
    <x v="288"/>
    <x v="34"/>
    <x v="430"/>
  </r>
  <r>
    <x v="288"/>
    <x v="24"/>
    <x v="431"/>
  </r>
  <r>
    <x v="288"/>
    <x v="10"/>
    <x v="432"/>
  </r>
  <r>
    <x v="288"/>
    <x v="10"/>
    <x v="433"/>
  </r>
  <r>
    <x v="288"/>
    <x v="10"/>
    <x v="432"/>
  </r>
  <r>
    <x v="288"/>
    <x v="10"/>
    <x v="434"/>
  </r>
  <r>
    <x v="288"/>
    <x v="10"/>
    <x v="435"/>
  </r>
  <r>
    <x v="288"/>
    <x v="28"/>
    <x v="7"/>
  </r>
  <r>
    <x v="288"/>
    <x v="28"/>
    <x v="436"/>
  </r>
  <r>
    <x v="288"/>
    <x v="36"/>
    <x v="437"/>
  </r>
  <r>
    <x v="288"/>
    <x v="25"/>
    <x v="438"/>
  </r>
  <r>
    <x v="289"/>
    <x v="24"/>
    <x v="439"/>
  </r>
  <r>
    <x v="289"/>
    <x v="32"/>
    <x v="440"/>
  </r>
  <r>
    <x v="289"/>
    <x v="10"/>
    <x v="441"/>
  </r>
  <r>
    <x v="289"/>
    <x v="10"/>
    <x v="442"/>
  </r>
  <r>
    <x v="289"/>
    <x v="10"/>
    <x v="443"/>
  </r>
  <r>
    <x v="289"/>
    <x v="10"/>
    <x v="425"/>
  </r>
  <r>
    <x v="290"/>
    <x v="29"/>
    <x v="7"/>
  </r>
  <r>
    <x v="290"/>
    <x v="25"/>
    <x v="444"/>
  </r>
  <r>
    <x v="291"/>
    <x v="32"/>
    <x v="445"/>
  </r>
  <r>
    <x v="292"/>
    <x v="32"/>
    <x v="446"/>
  </r>
  <r>
    <x v="293"/>
    <x v="32"/>
    <x v="447"/>
  </r>
  <r>
    <x v="294"/>
    <x v="25"/>
    <x v="448"/>
  </r>
  <r>
    <x v="295"/>
    <x v="29"/>
    <x v="7"/>
  </r>
  <r>
    <x v="295"/>
    <x v="25"/>
    <x v="449"/>
  </r>
  <r>
    <x v="296"/>
    <x v="35"/>
    <x v="450"/>
  </r>
  <r>
    <x v="297"/>
    <x v="10"/>
    <x v="451"/>
  </r>
  <r>
    <x v="297"/>
    <x v="25"/>
    <x v="452"/>
  </r>
  <r>
    <x v="298"/>
    <x v="36"/>
    <x v="453"/>
  </r>
  <r>
    <x v="298"/>
    <x v="10"/>
    <x v="454"/>
  </r>
  <r>
    <x v="298"/>
    <x v="29"/>
    <x v="7"/>
  </r>
  <r>
    <x v="298"/>
    <x v="25"/>
    <x v="455"/>
  </r>
  <r>
    <x v="299"/>
    <x v="10"/>
    <x v="456"/>
  </r>
  <r>
    <x v="299"/>
    <x v="10"/>
    <x v="457"/>
  </r>
  <r>
    <x v="299"/>
    <x v="10"/>
    <x v="453"/>
  </r>
  <r>
    <x v="299"/>
    <x v="10"/>
    <x v="458"/>
  </r>
  <r>
    <x v="300"/>
    <x v="35"/>
    <x v="459"/>
  </r>
  <r>
    <x v="300"/>
    <x v="10"/>
    <x v="460"/>
  </r>
  <r>
    <x v="300"/>
    <x v="21"/>
    <x v="461"/>
  </r>
  <r>
    <x v="301"/>
    <x v="37"/>
    <x v="462"/>
  </r>
  <r>
    <x v="301"/>
    <x v="10"/>
    <x v="463"/>
  </r>
  <r>
    <x v="302"/>
    <x v="37"/>
    <x v="464"/>
  </r>
  <r>
    <x v="302"/>
    <x v="10"/>
    <x v="465"/>
  </r>
  <r>
    <x v="302"/>
    <x v="10"/>
    <x v="459"/>
  </r>
  <r>
    <x v="302"/>
    <x v="10"/>
    <x v="466"/>
  </r>
  <r>
    <x v="302"/>
    <x v="10"/>
    <x v="467"/>
  </r>
  <r>
    <x v="303"/>
    <x v="35"/>
    <x v="468"/>
  </r>
  <r>
    <x v="303"/>
    <x v="32"/>
    <x v="469"/>
  </r>
  <r>
    <x v="303"/>
    <x v="10"/>
    <x v="470"/>
  </r>
  <r>
    <x v="303"/>
    <x v="10"/>
    <x v="471"/>
  </r>
  <r>
    <x v="303"/>
    <x v="10"/>
    <x v="472"/>
  </r>
  <r>
    <x v="304"/>
    <x v="21"/>
    <x v="473"/>
  </r>
  <r>
    <x v="304"/>
    <x v="35"/>
    <x v="474"/>
  </r>
  <r>
    <x v="304"/>
    <x v="21"/>
    <x v="475"/>
  </r>
  <r>
    <x v="305"/>
    <x v="38"/>
    <x v="476"/>
  </r>
  <r>
    <x v="306"/>
    <x v="24"/>
    <x v="477"/>
  </r>
  <r>
    <x v="306"/>
    <x v="21"/>
    <x v="478"/>
  </r>
  <r>
    <x v="306"/>
    <x v="21"/>
    <x v="479"/>
  </r>
  <r>
    <x v="306"/>
    <x v="21"/>
    <x v="480"/>
  </r>
  <r>
    <x v="306"/>
    <x v="21"/>
    <x v="481"/>
  </r>
  <r>
    <x v="306"/>
    <x v="21"/>
    <x v="482"/>
  </r>
  <r>
    <x v="306"/>
    <x v="24"/>
    <x v="483"/>
  </r>
  <r>
    <x v="307"/>
    <x v="21"/>
    <x v="484"/>
  </r>
  <r>
    <x v="307"/>
    <x v="21"/>
    <x v="485"/>
  </r>
  <r>
    <x v="307"/>
    <x v="24"/>
    <x v="486"/>
  </r>
  <r>
    <x v="307"/>
    <x v="21"/>
    <x v="484"/>
  </r>
  <r>
    <x v="308"/>
    <x v="30"/>
    <x v="487"/>
  </r>
  <r>
    <x v="308"/>
    <x v="21"/>
    <x v="488"/>
  </r>
  <r>
    <x v="308"/>
    <x v="24"/>
    <x v="489"/>
  </r>
  <r>
    <x v="308"/>
    <x v="10"/>
    <x v="490"/>
  </r>
  <r>
    <x v="309"/>
    <x v="21"/>
    <x v="491"/>
  </r>
  <r>
    <x v="309"/>
    <x v="21"/>
    <x v="492"/>
  </r>
  <r>
    <x v="309"/>
    <x v="10"/>
    <x v="493"/>
  </r>
  <r>
    <x v="309"/>
    <x v="10"/>
    <x v="494"/>
  </r>
  <r>
    <x v="310"/>
    <x v="21"/>
    <x v="495"/>
  </r>
  <r>
    <x v="310"/>
    <x v="24"/>
    <x v="496"/>
  </r>
  <r>
    <x v="311"/>
    <x v="38"/>
    <x v="497"/>
  </r>
  <r>
    <x v="311"/>
    <x v="36"/>
    <x v="498"/>
  </r>
  <r>
    <x v="312"/>
    <x v="30"/>
    <x v="499"/>
  </r>
  <r>
    <x v="312"/>
    <x v="10"/>
    <x v="500"/>
  </r>
  <r>
    <x v="312"/>
    <x v="10"/>
    <x v="501"/>
  </r>
  <r>
    <x v="312"/>
    <x v="10"/>
    <x v="502"/>
  </r>
  <r>
    <x v="313"/>
    <x v="21"/>
    <x v="503"/>
  </r>
  <r>
    <x v="313"/>
    <x v="38"/>
    <x v="430"/>
  </r>
  <r>
    <x v="313"/>
    <x v="24"/>
    <x v="504"/>
  </r>
  <r>
    <x v="313"/>
    <x v="24"/>
    <x v="505"/>
  </r>
  <r>
    <x v="313"/>
    <x v="24"/>
    <x v="506"/>
  </r>
  <r>
    <x v="314"/>
    <x v="36"/>
    <x v="507"/>
  </r>
  <r>
    <x v="314"/>
    <x v="10"/>
    <x v="508"/>
  </r>
  <r>
    <x v="315"/>
    <x v="21"/>
    <x v="509"/>
  </r>
  <r>
    <x v="315"/>
    <x v="24"/>
    <x v="510"/>
  </r>
  <r>
    <x v="316"/>
    <x v="10"/>
    <x v="511"/>
  </r>
  <r>
    <x v="316"/>
    <x v="24"/>
    <x v="512"/>
  </r>
  <r>
    <x v="316"/>
    <x v="38"/>
    <x v="513"/>
  </r>
  <r>
    <x v="316"/>
    <x v="24"/>
    <x v="514"/>
  </r>
  <r>
    <x v="316"/>
    <x v="24"/>
    <x v="515"/>
  </r>
  <r>
    <x v="316"/>
    <x v="10"/>
    <x v="516"/>
  </r>
  <r>
    <x v="316"/>
    <x v="10"/>
    <x v="507"/>
  </r>
  <r>
    <x v="316"/>
    <x v="10"/>
    <x v="517"/>
  </r>
  <r>
    <x v="317"/>
    <x v="24"/>
    <x v="518"/>
  </r>
  <r>
    <x v="317"/>
    <x v="36"/>
    <x v="519"/>
  </r>
  <r>
    <x v="317"/>
    <x v="36"/>
    <x v="520"/>
  </r>
  <r>
    <x v="318"/>
    <x v="36"/>
    <x v="521"/>
  </r>
  <r>
    <x v="318"/>
    <x v="36"/>
    <x v="521"/>
  </r>
  <r>
    <x v="319"/>
    <x v="33"/>
    <x v="7"/>
  </r>
  <r>
    <x v="319"/>
    <x v="33"/>
    <x v="7"/>
  </r>
  <r>
    <x v="319"/>
    <x v="33"/>
    <x v="7"/>
  </r>
  <r>
    <x v="320"/>
    <x v="33"/>
    <x v="7"/>
  </r>
  <r>
    <x v="320"/>
    <x v="33"/>
    <x v="7"/>
  </r>
  <r>
    <x v="321"/>
    <x v="24"/>
    <x v="522"/>
  </r>
  <r>
    <x v="322"/>
    <x v="24"/>
    <x v="7"/>
  </r>
  <r>
    <x v="322"/>
    <x v="36"/>
    <x v="523"/>
  </r>
  <r>
    <x v="322"/>
    <x v="10"/>
    <x v="524"/>
  </r>
  <r>
    <x v="323"/>
    <x v="24"/>
    <x v="525"/>
  </r>
  <r>
    <x v="323"/>
    <x v="36"/>
    <x v="526"/>
  </r>
  <r>
    <x v="323"/>
    <x v="28"/>
    <x v="226"/>
  </r>
  <r>
    <x v="323"/>
    <x v="10"/>
    <x v="527"/>
  </r>
  <r>
    <x v="323"/>
    <x v="10"/>
    <x v="523"/>
  </r>
  <r>
    <x v="324"/>
    <x v="24"/>
    <x v="528"/>
  </r>
  <r>
    <x v="324"/>
    <x v="24"/>
    <x v="529"/>
  </r>
  <r>
    <x v="325"/>
    <x v="28"/>
    <x v="530"/>
  </r>
  <r>
    <x v="326"/>
    <x v="36"/>
    <x v="531"/>
  </r>
  <r>
    <x v="326"/>
    <x v="10"/>
    <x v="532"/>
  </r>
  <r>
    <x v="327"/>
    <x v="36"/>
    <x v="533"/>
  </r>
  <r>
    <x v="327"/>
    <x v="36"/>
    <x v="534"/>
  </r>
  <r>
    <x v="327"/>
    <x v="10"/>
    <x v="535"/>
  </r>
  <r>
    <x v="327"/>
    <x v="10"/>
    <x v="536"/>
  </r>
  <r>
    <x v="327"/>
    <x v="10"/>
    <x v="537"/>
  </r>
  <r>
    <x v="327"/>
    <x v="10"/>
    <x v="538"/>
  </r>
  <r>
    <x v="327"/>
    <x v="10"/>
    <x v="539"/>
  </r>
  <r>
    <x v="327"/>
    <x v="10"/>
    <x v="540"/>
  </r>
  <r>
    <x v="327"/>
    <x v="28"/>
    <x v="541"/>
  </r>
  <r>
    <x v="328"/>
    <x v="36"/>
    <x v="542"/>
  </r>
  <r>
    <x v="328"/>
    <x v="36"/>
    <x v="543"/>
  </r>
  <r>
    <x v="328"/>
    <x v="36"/>
    <x v="544"/>
  </r>
  <r>
    <x v="328"/>
    <x v="36"/>
    <x v="545"/>
  </r>
  <r>
    <x v="328"/>
    <x v="10"/>
    <x v="546"/>
  </r>
  <r>
    <x v="328"/>
    <x v="10"/>
    <x v="547"/>
  </r>
  <r>
    <x v="328"/>
    <x v="10"/>
    <x v="548"/>
  </r>
  <r>
    <x v="328"/>
    <x v="10"/>
    <x v="549"/>
  </r>
  <r>
    <x v="328"/>
    <x v="10"/>
    <x v="534"/>
  </r>
  <r>
    <x v="328"/>
    <x v="10"/>
    <x v="550"/>
  </r>
  <r>
    <x v="328"/>
    <x v="10"/>
    <x v="551"/>
  </r>
  <r>
    <x v="329"/>
    <x v="36"/>
    <x v="552"/>
  </r>
  <r>
    <x v="329"/>
    <x v="10"/>
    <x v="553"/>
  </r>
  <r>
    <x v="329"/>
    <x v="10"/>
    <x v="545"/>
  </r>
  <r>
    <x v="330"/>
    <x v="28"/>
    <x v="554"/>
  </r>
  <r>
    <x v="331"/>
    <x v="36"/>
    <x v="555"/>
  </r>
  <r>
    <x v="331"/>
    <x v="36"/>
    <x v="556"/>
  </r>
  <r>
    <x v="332"/>
    <x v="36"/>
    <x v="557"/>
  </r>
  <r>
    <x v="332"/>
    <x v="36"/>
    <x v="558"/>
  </r>
  <r>
    <x v="333"/>
    <x v="36"/>
    <x v="559"/>
  </r>
  <r>
    <x v="333"/>
    <x v="39"/>
    <x v="560"/>
  </r>
  <r>
    <x v="334"/>
    <x v="36"/>
    <x v="561"/>
  </r>
  <r>
    <x v="334"/>
    <x v="36"/>
    <x v="562"/>
  </r>
  <r>
    <x v="334"/>
    <x v="36"/>
    <x v="563"/>
  </r>
  <r>
    <x v="335"/>
    <x v="39"/>
    <x v="564"/>
  </r>
  <r>
    <x v="336"/>
    <x v="10"/>
    <x v="565"/>
  </r>
  <r>
    <x v="336"/>
    <x v="24"/>
    <x v="566"/>
  </r>
  <r>
    <x v="336"/>
    <x v="24"/>
    <x v="567"/>
  </r>
  <r>
    <x v="336"/>
    <x v="24"/>
    <x v="568"/>
  </r>
  <r>
    <x v="336"/>
    <x v="24"/>
    <x v="569"/>
  </r>
  <r>
    <x v="336"/>
    <x v="24"/>
    <x v="570"/>
  </r>
  <r>
    <x v="336"/>
    <x v="24"/>
    <x v="571"/>
  </r>
  <r>
    <x v="336"/>
    <x v="24"/>
    <x v="572"/>
  </r>
  <r>
    <x v="336"/>
    <x v="10"/>
    <x v="573"/>
  </r>
  <r>
    <x v="336"/>
    <x v="10"/>
    <x v="574"/>
  </r>
  <r>
    <x v="336"/>
    <x v="10"/>
    <x v="575"/>
  </r>
  <r>
    <x v="336"/>
    <x v="10"/>
    <x v="576"/>
  </r>
  <r>
    <x v="336"/>
    <x v="10"/>
    <x v="577"/>
  </r>
  <r>
    <x v="336"/>
    <x v="10"/>
    <x v="578"/>
  </r>
  <r>
    <x v="336"/>
    <x v="10"/>
    <x v="579"/>
  </r>
  <r>
    <x v="336"/>
    <x v="10"/>
    <x v="580"/>
  </r>
  <r>
    <x v="337"/>
    <x v="36"/>
    <x v="581"/>
  </r>
  <r>
    <x v="337"/>
    <x v="24"/>
    <x v="582"/>
  </r>
  <r>
    <x v="337"/>
    <x v="10"/>
    <x v="583"/>
  </r>
  <r>
    <x v="337"/>
    <x v="10"/>
    <x v="584"/>
  </r>
  <r>
    <x v="338"/>
    <x v="36"/>
    <x v="585"/>
  </r>
  <r>
    <x v="338"/>
    <x v="24"/>
    <x v="586"/>
  </r>
  <r>
    <x v="338"/>
    <x v="10"/>
    <x v="581"/>
  </r>
  <r>
    <x v="338"/>
    <x v="10"/>
    <x v="587"/>
  </r>
  <r>
    <x v="339"/>
    <x v="24"/>
    <x v="588"/>
  </r>
  <r>
    <x v="339"/>
    <x v="36"/>
    <x v="589"/>
  </r>
  <r>
    <x v="339"/>
    <x v="24"/>
    <x v="590"/>
  </r>
  <r>
    <x v="340"/>
    <x v="24"/>
    <x v="591"/>
  </r>
  <r>
    <x v="341"/>
    <x v="36"/>
    <x v="592"/>
  </r>
  <r>
    <x v="342"/>
    <x v="24"/>
    <x v="593"/>
  </r>
  <r>
    <x v="342"/>
    <x v="36"/>
    <x v="594"/>
  </r>
  <r>
    <x v="342"/>
    <x v="36"/>
    <x v="595"/>
  </r>
  <r>
    <x v="342"/>
    <x v="24"/>
    <x v="596"/>
  </r>
  <r>
    <x v="342"/>
    <x v="24"/>
    <x v="597"/>
  </r>
  <r>
    <x v="342"/>
    <x v="10"/>
    <x v="598"/>
  </r>
  <r>
    <x v="342"/>
    <x v="10"/>
    <x v="599"/>
  </r>
  <r>
    <x v="342"/>
    <x v="10"/>
    <x v="600"/>
  </r>
  <r>
    <x v="342"/>
    <x v="10"/>
    <x v="601"/>
  </r>
  <r>
    <x v="342"/>
    <x v="10"/>
    <x v="602"/>
  </r>
  <r>
    <x v="342"/>
    <x v="10"/>
    <x v="603"/>
  </r>
  <r>
    <x v="342"/>
    <x v="10"/>
    <x v="604"/>
  </r>
  <r>
    <x v="342"/>
    <x v="10"/>
    <x v="605"/>
  </r>
  <r>
    <x v="342"/>
    <x v="10"/>
    <x v="606"/>
  </r>
  <r>
    <x v="343"/>
    <x v="24"/>
    <x v="607"/>
  </r>
  <r>
    <x v="344"/>
    <x v="36"/>
    <x v="608"/>
  </r>
  <r>
    <x v="344"/>
    <x v="36"/>
    <x v="609"/>
  </r>
  <r>
    <x v="344"/>
    <x v="24"/>
    <x v="610"/>
  </r>
  <r>
    <x v="344"/>
    <x v="10"/>
    <x v="611"/>
  </r>
  <r>
    <x v="344"/>
    <x v="10"/>
    <x v="612"/>
  </r>
  <r>
    <x v="344"/>
    <x v="10"/>
    <x v="608"/>
  </r>
  <r>
    <x v="344"/>
    <x v="10"/>
    <x v="32"/>
  </r>
  <r>
    <x v="344"/>
    <x v="28"/>
    <x v="613"/>
  </r>
  <r>
    <x v="345"/>
    <x v="24"/>
    <x v="614"/>
  </r>
  <r>
    <x v="345"/>
    <x v="24"/>
    <x v="615"/>
  </r>
  <r>
    <x v="345"/>
    <x v="10"/>
    <x v="616"/>
  </r>
  <r>
    <x v="345"/>
    <x v="10"/>
    <x v="617"/>
  </r>
  <r>
    <x v="345"/>
    <x v="10"/>
    <x v="618"/>
  </r>
  <r>
    <x v="345"/>
    <x v="10"/>
    <x v="619"/>
  </r>
  <r>
    <x v="345"/>
    <x v="10"/>
    <x v="620"/>
  </r>
  <r>
    <x v="345"/>
    <x v="40"/>
    <x v="621"/>
  </r>
  <r>
    <x v="345"/>
    <x v="28"/>
    <x v="622"/>
  </r>
  <r>
    <x v="346"/>
    <x v="24"/>
    <x v="623"/>
  </r>
  <r>
    <x v="346"/>
    <x v="24"/>
    <x v="624"/>
  </r>
  <r>
    <x v="346"/>
    <x v="24"/>
    <x v="625"/>
  </r>
  <r>
    <x v="346"/>
    <x v="36"/>
    <x v="626"/>
  </r>
  <r>
    <x v="346"/>
    <x v="28"/>
    <x v="627"/>
  </r>
  <r>
    <x v="346"/>
    <x v="10"/>
    <x v="628"/>
  </r>
  <r>
    <x v="346"/>
    <x v="10"/>
    <x v="629"/>
  </r>
  <r>
    <x v="346"/>
    <x v="10"/>
    <x v="630"/>
  </r>
  <r>
    <x v="346"/>
    <x v="10"/>
    <x v="631"/>
  </r>
  <r>
    <x v="346"/>
    <x v="10"/>
    <x v="572"/>
  </r>
  <r>
    <x v="346"/>
    <x v="10"/>
    <x v="582"/>
  </r>
  <r>
    <x v="346"/>
    <x v="10"/>
    <x v="597"/>
  </r>
  <r>
    <x v="346"/>
    <x v="10"/>
    <x v="614"/>
  </r>
  <r>
    <x v="346"/>
    <x v="10"/>
    <x v="623"/>
  </r>
  <r>
    <x v="346"/>
    <x v="10"/>
    <x v="632"/>
  </r>
  <r>
    <x v="346"/>
    <x v="10"/>
    <x v="633"/>
  </r>
  <r>
    <x v="346"/>
    <x v="10"/>
    <x v="634"/>
  </r>
  <r>
    <x v="346"/>
    <x v="10"/>
    <x v="635"/>
  </r>
  <r>
    <x v="346"/>
    <x v="10"/>
    <x v="636"/>
  </r>
  <r>
    <x v="346"/>
    <x v="28"/>
    <x v="637"/>
  </r>
  <r>
    <x v="346"/>
    <x v="40"/>
    <x v="638"/>
  </r>
  <r>
    <x v="346"/>
    <x v="40"/>
    <x v="639"/>
  </r>
  <r>
    <x v="346"/>
    <x v="28"/>
    <x v="640"/>
  </r>
  <r>
    <x v="347"/>
    <x v="28"/>
    <x v="641"/>
  </r>
  <r>
    <x v="347"/>
    <x v="24"/>
    <x v="642"/>
  </r>
  <r>
    <x v="347"/>
    <x v="10"/>
    <x v="643"/>
  </r>
  <r>
    <x v="347"/>
    <x v="28"/>
    <x v="644"/>
  </r>
  <r>
    <x v="347"/>
    <x v="28"/>
    <x v="645"/>
  </r>
  <r>
    <x v="347"/>
    <x v="40"/>
    <x v="646"/>
  </r>
  <r>
    <x v="347"/>
    <x v="40"/>
    <x v="647"/>
  </r>
  <r>
    <x v="348"/>
    <x v="24"/>
    <x v="648"/>
  </r>
  <r>
    <x v="348"/>
    <x v="24"/>
    <x v="649"/>
  </r>
  <r>
    <x v="348"/>
    <x v="24"/>
    <x v="650"/>
  </r>
  <r>
    <x v="348"/>
    <x v="10"/>
    <x v="651"/>
  </r>
  <r>
    <x v="348"/>
    <x v="10"/>
    <x v="652"/>
  </r>
  <r>
    <x v="348"/>
    <x v="10"/>
    <x v="653"/>
  </r>
  <r>
    <x v="348"/>
    <x v="28"/>
    <x v="654"/>
  </r>
  <r>
    <x v="349"/>
    <x v="24"/>
    <x v="655"/>
  </r>
  <r>
    <x v="349"/>
    <x v="28"/>
    <x v="656"/>
  </r>
  <r>
    <x v="349"/>
    <x v="10"/>
    <x v="657"/>
  </r>
  <r>
    <x v="349"/>
    <x v="10"/>
    <x v="658"/>
  </r>
  <r>
    <x v="349"/>
    <x v="10"/>
    <x v="659"/>
  </r>
  <r>
    <x v="349"/>
    <x v="10"/>
    <x v="660"/>
  </r>
  <r>
    <x v="349"/>
    <x v="40"/>
    <x v="661"/>
  </r>
  <r>
    <x v="350"/>
    <x v="36"/>
    <x v="662"/>
  </r>
  <r>
    <x v="350"/>
    <x v="24"/>
    <x v="663"/>
  </r>
  <r>
    <x v="350"/>
    <x v="24"/>
    <x v="664"/>
  </r>
  <r>
    <x v="350"/>
    <x v="24"/>
    <x v="665"/>
  </r>
  <r>
    <x v="350"/>
    <x v="10"/>
    <x v="666"/>
  </r>
  <r>
    <x v="350"/>
    <x v="10"/>
    <x v="667"/>
  </r>
  <r>
    <x v="350"/>
    <x v="10"/>
    <x v="668"/>
  </r>
  <r>
    <x v="350"/>
    <x v="10"/>
    <x v="669"/>
  </r>
  <r>
    <x v="350"/>
    <x v="10"/>
    <x v="670"/>
  </r>
  <r>
    <x v="350"/>
    <x v="10"/>
    <x v="671"/>
  </r>
  <r>
    <x v="350"/>
    <x v="10"/>
    <x v="626"/>
  </r>
  <r>
    <x v="350"/>
    <x v="10"/>
    <x v="642"/>
  </r>
  <r>
    <x v="350"/>
    <x v="10"/>
    <x v="648"/>
  </r>
  <r>
    <x v="350"/>
    <x v="40"/>
    <x v="672"/>
  </r>
  <r>
    <x v="351"/>
    <x v="24"/>
    <x v="673"/>
  </r>
  <r>
    <x v="351"/>
    <x v="24"/>
    <x v="674"/>
  </r>
  <r>
    <x v="351"/>
    <x v="24"/>
    <x v="675"/>
  </r>
  <r>
    <x v="351"/>
    <x v="36"/>
    <x v="676"/>
  </r>
  <r>
    <x v="351"/>
    <x v="10"/>
    <x v="677"/>
  </r>
  <r>
    <x v="351"/>
    <x v="10"/>
    <x v="678"/>
  </r>
  <r>
    <x v="351"/>
    <x v="10"/>
    <x v="679"/>
  </r>
  <r>
    <x v="351"/>
    <x v="10"/>
    <x v="673"/>
  </r>
  <r>
    <x v="351"/>
    <x v="10"/>
    <x v="680"/>
  </r>
  <r>
    <x v="351"/>
    <x v="10"/>
    <x v="681"/>
  </r>
  <r>
    <x v="352"/>
    <x v="24"/>
    <x v="682"/>
  </r>
  <r>
    <x v="352"/>
    <x v="10"/>
    <x v="683"/>
  </r>
  <r>
    <x v="353"/>
    <x v="24"/>
    <x v="684"/>
  </r>
  <r>
    <x v="353"/>
    <x v="10"/>
    <x v="685"/>
  </r>
  <r>
    <x v="353"/>
    <x v="10"/>
    <x v="682"/>
  </r>
  <r>
    <x v="354"/>
    <x v="24"/>
    <x v="686"/>
  </r>
  <r>
    <x v="354"/>
    <x v="28"/>
    <x v="687"/>
  </r>
  <r>
    <x v="354"/>
    <x v="24"/>
    <x v="688"/>
  </r>
  <r>
    <x v="354"/>
    <x v="10"/>
    <x v="689"/>
  </r>
  <r>
    <x v="354"/>
    <x v="10"/>
    <x v="690"/>
  </r>
  <r>
    <x v="354"/>
    <x v="28"/>
    <x v="691"/>
  </r>
  <r>
    <x v="354"/>
    <x v="28"/>
    <x v="692"/>
  </r>
  <r>
    <x v="354"/>
    <x v="36"/>
    <x v="693"/>
  </r>
  <r>
    <x v="355"/>
    <x v="24"/>
    <x v="694"/>
  </r>
  <r>
    <x v="355"/>
    <x v="24"/>
    <x v="695"/>
  </r>
  <r>
    <x v="355"/>
    <x v="10"/>
    <x v="696"/>
  </r>
  <r>
    <x v="355"/>
    <x v="10"/>
    <x v="686"/>
  </r>
  <r>
    <x v="355"/>
    <x v="10"/>
    <x v="697"/>
  </r>
  <r>
    <x v="355"/>
    <x v="10"/>
    <x v="698"/>
  </r>
  <r>
    <x v="355"/>
    <x v="36"/>
    <x v="699"/>
  </r>
  <r>
    <x v="355"/>
    <x v="36"/>
    <x v="700"/>
  </r>
  <r>
    <x v="356"/>
    <x v="24"/>
    <x v="701"/>
  </r>
  <r>
    <x v="356"/>
    <x v="24"/>
    <x v="702"/>
  </r>
  <r>
    <x v="356"/>
    <x v="10"/>
    <x v="703"/>
  </r>
  <r>
    <x v="356"/>
    <x v="10"/>
    <x v="704"/>
  </r>
  <r>
    <x v="356"/>
    <x v="36"/>
    <x v="705"/>
  </r>
  <r>
    <x v="356"/>
    <x v="36"/>
    <x v="706"/>
  </r>
  <r>
    <x v="356"/>
    <x v="36"/>
    <x v="707"/>
  </r>
  <r>
    <x v="357"/>
    <x v="24"/>
    <x v="708"/>
  </r>
  <r>
    <x v="357"/>
    <x v="24"/>
    <x v="709"/>
  </r>
  <r>
    <x v="357"/>
    <x v="24"/>
    <x v="710"/>
  </r>
  <r>
    <x v="357"/>
    <x v="10"/>
    <x v="711"/>
  </r>
  <r>
    <x v="357"/>
    <x v="10"/>
    <x v="712"/>
  </r>
  <r>
    <x v="357"/>
    <x v="10"/>
    <x v="713"/>
  </r>
  <r>
    <x v="357"/>
    <x v="10"/>
    <x v="714"/>
  </r>
  <r>
    <x v="357"/>
    <x v="10"/>
    <x v="715"/>
  </r>
  <r>
    <x v="357"/>
    <x v="10"/>
    <x v="695"/>
  </r>
  <r>
    <x v="357"/>
    <x v="10"/>
    <x v="708"/>
  </r>
  <r>
    <x v="357"/>
    <x v="36"/>
    <x v="716"/>
  </r>
  <r>
    <x v="357"/>
    <x v="36"/>
    <x v="717"/>
  </r>
  <r>
    <x v="357"/>
    <x v="36"/>
    <x v="718"/>
  </r>
  <r>
    <x v="358"/>
    <x v="24"/>
    <x v="719"/>
  </r>
  <r>
    <x v="358"/>
    <x v="10"/>
    <x v="720"/>
  </r>
  <r>
    <x v="358"/>
    <x v="36"/>
    <x v="721"/>
  </r>
  <r>
    <x v="358"/>
    <x v="36"/>
    <x v="721"/>
  </r>
  <r>
    <x v="358"/>
    <x v="36"/>
    <x v="722"/>
  </r>
  <r>
    <x v="358"/>
    <x v="28"/>
    <x v="723"/>
  </r>
  <r>
    <x v="358"/>
    <x v="41"/>
    <x v="724"/>
  </r>
  <r>
    <x v="358"/>
    <x v="41"/>
    <x v="725"/>
  </r>
  <r>
    <x v="358"/>
    <x v="36"/>
    <x v="726"/>
  </r>
  <r>
    <x v="359"/>
    <x v="24"/>
    <x v="727"/>
  </r>
  <r>
    <x v="359"/>
    <x v="10"/>
    <x v="728"/>
  </r>
  <r>
    <x v="359"/>
    <x v="10"/>
    <x v="729"/>
  </r>
  <r>
    <x v="359"/>
    <x v="10"/>
    <x v="730"/>
  </r>
  <r>
    <x v="359"/>
    <x v="10"/>
    <x v="731"/>
  </r>
  <r>
    <x v="359"/>
    <x v="10"/>
    <x v="732"/>
  </r>
  <r>
    <x v="359"/>
    <x v="36"/>
    <x v="733"/>
  </r>
  <r>
    <x v="360"/>
    <x v="24"/>
    <x v="734"/>
  </r>
  <r>
    <x v="360"/>
    <x v="10"/>
    <x v="735"/>
  </r>
  <r>
    <x v="360"/>
    <x v="10"/>
    <x v="167"/>
  </r>
  <r>
    <x v="360"/>
    <x v="36"/>
    <x v="736"/>
  </r>
  <r>
    <x v="360"/>
    <x v="28"/>
    <x v="737"/>
  </r>
  <r>
    <x v="360"/>
    <x v="36"/>
    <x v="738"/>
  </r>
  <r>
    <x v="361"/>
    <x v="28"/>
    <x v="739"/>
  </r>
  <r>
    <x v="361"/>
    <x v="36"/>
    <x v="740"/>
  </r>
  <r>
    <x v="361"/>
    <x v="36"/>
    <x v="741"/>
  </r>
  <r>
    <x v="361"/>
    <x v="28"/>
    <x v="742"/>
  </r>
  <r>
    <x v="361"/>
    <x v="41"/>
    <x v="743"/>
  </r>
  <r>
    <x v="361"/>
    <x v="42"/>
    <x v="744"/>
  </r>
  <r>
    <x v="362"/>
    <x v="28"/>
    <x v="745"/>
  </r>
  <r>
    <x v="362"/>
    <x v="28"/>
    <x v="746"/>
  </r>
  <r>
    <x v="363"/>
    <x v="24"/>
    <x v="747"/>
  </r>
  <r>
    <x v="363"/>
    <x v="42"/>
    <x v="748"/>
  </r>
  <r>
    <x v="363"/>
    <x v="42"/>
    <x v="749"/>
  </r>
  <r>
    <x v="363"/>
    <x v="40"/>
    <x v="750"/>
  </r>
  <r>
    <x v="364"/>
    <x v="24"/>
    <x v="751"/>
  </r>
  <r>
    <x v="364"/>
    <x v="42"/>
    <x v="752"/>
  </r>
  <r>
    <x v="365"/>
    <x v="24"/>
    <x v="753"/>
  </r>
  <r>
    <x v="365"/>
    <x v="24"/>
    <x v="754"/>
  </r>
  <r>
    <x v="365"/>
    <x v="10"/>
    <x v="755"/>
  </r>
  <r>
    <x v="365"/>
    <x v="40"/>
    <x v="756"/>
  </r>
  <r>
    <x v="365"/>
    <x v="43"/>
    <x v="757"/>
  </r>
  <r>
    <x v="365"/>
    <x v="44"/>
    <x v="7"/>
  </r>
  <r>
    <x v="365"/>
    <x v="42"/>
    <x v="7"/>
  </r>
  <r>
    <x v="365"/>
    <x v="43"/>
    <x v="7"/>
  </r>
  <r>
    <x v="366"/>
    <x v="24"/>
    <x v="758"/>
  </r>
  <r>
    <x v="366"/>
    <x v="24"/>
    <x v="759"/>
  </r>
  <r>
    <x v="366"/>
    <x v="24"/>
    <x v="760"/>
  </r>
  <r>
    <x v="366"/>
    <x v="24"/>
    <x v="761"/>
  </r>
  <r>
    <x v="366"/>
    <x v="10"/>
    <x v="762"/>
  </r>
  <r>
    <x v="366"/>
    <x v="10"/>
    <x v="763"/>
  </r>
  <r>
    <x v="366"/>
    <x v="10"/>
    <x v="764"/>
  </r>
  <r>
    <x v="366"/>
    <x v="10"/>
    <x v="765"/>
  </r>
  <r>
    <x v="366"/>
    <x v="10"/>
    <x v="766"/>
  </r>
  <r>
    <x v="366"/>
    <x v="10"/>
    <x v="767"/>
  </r>
  <r>
    <x v="366"/>
    <x v="42"/>
    <x v="768"/>
  </r>
  <r>
    <x v="366"/>
    <x v="40"/>
    <x v="769"/>
  </r>
  <r>
    <x v="366"/>
    <x v="40"/>
    <x v="770"/>
  </r>
  <r>
    <x v="367"/>
    <x v="10"/>
    <x v="43"/>
  </r>
  <r>
    <x v="367"/>
    <x v="24"/>
    <x v="771"/>
  </r>
  <r>
    <x v="367"/>
    <x v="24"/>
    <x v="772"/>
  </r>
  <r>
    <x v="367"/>
    <x v="24"/>
    <x v="773"/>
  </r>
  <r>
    <x v="367"/>
    <x v="24"/>
    <x v="774"/>
  </r>
  <r>
    <x v="367"/>
    <x v="24"/>
    <x v="775"/>
  </r>
  <r>
    <x v="367"/>
    <x v="10"/>
    <x v="776"/>
  </r>
  <r>
    <x v="367"/>
    <x v="10"/>
    <x v="777"/>
  </r>
  <r>
    <x v="367"/>
    <x v="10"/>
    <x v="778"/>
  </r>
  <r>
    <x v="367"/>
    <x v="10"/>
    <x v="779"/>
  </r>
  <r>
    <x v="367"/>
    <x v="10"/>
    <x v="780"/>
  </r>
  <r>
    <x v="367"/>
    <x v="10"/>
    <x v="781"/>
  </r>
  <r>
    <x v="367"/>
    <x v="10"/>
    <x v="782"/>
  </r>
  <r>
    <x v="367"/>
    <x v="10"/>
    <x v="783"/>
  </r>
  <r>
    <x v="367"/>
    <x v="10"/>
    <x v="784"/>
  </r>
  <r>
    <x v="367"/>
    <x v="36"/>
    <x v="785"/>
  </r>
  <r>
    <x v="367"/>
    <x v="40"/>
    <x v="786"/>
  </r>
  <r>
    <x v="367"/>
    <x v="40"/>
    <x v="787"/>
  </r>
  <r>
    <x v="367"/>
    <x v="40"/>
    <x v="788"/>
  </r>
  <r>
    <x v="368"/>
    <x v="24"/>
    <x v="789"/>
  </r>
  <r>
    <x v="368"/>
    <x v="24"/>
    <x v="790"/>
  </r>
  <r>
    <x v="368"/>
    <x v="24"/>
    <x v="791"/>
  </r>
  <r>
    <x v="368"/>
    <x v="36"/>
    <x v="792"/>
  </r>
  <r>
    <x v="368"/>
    <x v="10"/>
    <x v="793"/>
  </r>
  <r>
    <x v="368"/>
    <x v="10"/>
    <x v="794"/>
  </r>
  <r>
    <x v="368"/>
    <x v="10"/>
    <x v="789"/>
  </r>
  <r>
    <x v="368"/>
    <x v="44"/>
    <x v="795"/>
  </r>
  <r>
    <x v="368"/>
    <x v="40"/>
    <x v="796"/>
  </r>
  <r>
    <x v="368"/>
    <x v="36"/>
    <x v="797"/>
  </r>
  <r>
    <x v="368"/>
    <x v="40"/>
    <x v="798"/>
  </r>
  <r>
    <x v="368"/>
    <x v="40"/>
    <x v="799"/>
  </r>
  <r>
    <x v="368"/>
    <x v="36"/>
    <x v="800"/>
  </r>
  <r>
    <x v="368"/>
    <x v="40"/>
    <x v="801"/>
  </r>
  <r>
    <x v="368"/>
    <x v="45"/>
    <x v="802"/>
  </r>
  <r>
    <x v="369"/>
    <x v="24"/>
    <x v="803"/>
  </r>
  <r>
    <x v="369"/>
    <x v="36"/>
    <x v="804"/>
  </r>
  <r>
    <x v="369"/>
    <x v="24"/>
    <x v="805"/>
  </r>
  <r>
    <x v="369"/>
    <x v="24"/>
    <x v="806"/>
  </r>
  <r>
    <x v="369"/>
    <x v="10"/>
    <x v="807"/>
  </r>
  <r>
    <x v="369"/>
    <x v="10"/>
    <x v="808"/>
  </r>
  <r>
    <x v="369"/>
    <x v="10"/>
    <x v="792"/>
  </r>
  <r>
    <x v="369"/>
    <x v="10"/>
    <x v="809"/>
  </r>
  <r>
    <x v="369"/>
    <x v="10"/>
    <x v="810"/>
  </r>
  <r>
    <x v="369"/>
    <x v="10"/>
    <x v="811"/>
  </r>
  <r>
    <x v="369"/>
    <x v="10"/>
    <x v="812"/>
  </r>
  <r>
    <x v="369"/>
    <x v="10"/>
    <x v="813"/>
  </r>
  <r>
    <x v="369"/>
    <x v="40"/>
    <x v="814"/>
  </r>
  <r>
    <x v="369"/>
    <x v="45"/>
    <x v="815"/>
  </r>
  <r>
    <x v="369"/>
    <x v="40"/>
    <x v="816"/>
  </r>
  <r>
    <x v="369"/>
    <x v="45"/>
    <x v="817"/>
  </r>
  <r>
    <x v="369"/>
    <x v="45"/>
    <x v="818"/>
  </r>
  <r>
    <x v="369"/>
    <x v="40"/>
    <x v="819"/>
  </r>
  <r>
    <x v="370"/>
    <x v="24"/>
    <x v="820"/>
  </r>
  <r>
    <x v="370"/>
    <x v="10"/>
    <x v="821"/>
  </r>
  <r>
    <x v="370"/>
    <x v="45"/>
    <x v="822"/>
  </r>
  <r>
    <x v="370"/>
    <x v="40"/>
    <x v="823"/>
  </r>
  <r>
    <x v="370"/>
    <x v="40"/>
    <x v="824"/>
  </r>
  <r>
    <x v="370"/>
    <x v="46"/>
    <x v="825"/>
  </r>
  <r>
    <x v="371"/>
    <x v="45"/>
    <x v="826"/>
  </r>
  <r>
    <x v="371"/>
    <x v="46"/>
    <x v="827"/>
  </r>
  <r>
    <x v="372"/>
    <x v="10"/>
    <x v="828"/>
  </r>
  <r>
    <x v="372"/>
    <x v="10"/>
    <x v="820"/>
  </r>
  <r>
    <x v="372"/>
    <x v="10"/>
    <x v="829"/>
  </r>
  <r>
    <x v="372"/>
    <x v="46"/>
    <x v="830"/>
  </r>
  <r>
    <x v="372"/>
    <x v="46"/>
    <x v="831"/>
  </r>
  <r>
    <x v="373"/>
    <x v="10"/>
    <x v="832"/>
  </r>
  <r>
    <x v="373"/>
    <x v="46"/>
    <x v="833"/>
  </r>
  <r>
    <x v="373"/>
    <x v="46"/>
    <x v="834"/>
  </r>
  <r>
    <x v="373"/>
    <x v="46"/>
    <x v="835"/>
  </r>
  <r>
    <x v="374"/>
    <x v="24"/>
    <x v="836"/>
  </r>
  <r>
    <x v="374"/>
    <x v="36"/>
    <x v="837"/>
  </r>
  <r>
    <x v="374"/>
    <x v="36"/>
    <x v="838"/>
  </r>
  <r>
    <x v="374"/>
    <x v="47"/>
    <x v="839"/>
  </r>
  <r>
    <x v="375"/>
    <x v="24"/>
    <x v="840"/>
  </r>
  <r>
    <x v="376"/>
    <x v="24"/>
    <x v="841"/>
  </r>
  <r>
    <x v="376"/>
    <x v="40"/>
    <x v="842"/>
  </r>
  <r>
    <x v="377"/>
    <x v="24"/>
    <x v="843"/>
  </r>
  <r>
    <x v="377"/>
    <x v="24"/>
    <x v="844"/>
  </r>
  <r>
    <x v="377"/>
    <x v="48"/>
    <x v="845"/>
  </r>
  <r>
    <x v="378"/>
    <x v="48"/>
    <x v="846"/>
  </r>
  <r>
    <x v="379"/>
    <x v="40"/>
    <x v="847"/>
  </r>
  <r>
    <x v="379"/>
    <x v="10"/>
    <x v="848"/>
  </r>
  <r>
    <x v="379"/>
    <x v="48"/>
    <x v="849"/>
  </r>
  <r>
    <x v="380"/>
    <x v="40"/>
    <x v="850"/>
  </r>
  <r>
    <x v="380"/>
    <x v="48"/>
    <x v="7"/>
  </r>
  <r>
    <x v="380"/>
    <x v="49"/>
    <x v="7"/>
  </r>
  <r>
    <x v="380"/>
    <x v="48"/>
    <x v="7"/>
  </r>
  <r>
    <x v="381"/>
    <x v="48"/>
    <x v="851"/>
  </r>
  <r>
    <x v="382"/>
    <x v="10"/>
    <x v="852"/>
  </r>
  <r>
    <x v="383"/>
    <x v="36"/>
    <x v="853"/>
  </r>
  <r>
    <x v="383"/>
    <x v="50"/>
    <x v="854"/>
  </r>
  <r>
    <x v="383"/>
    <x v="50"/>
    <x v="855"/>
  </r>
  <r>
    <x v="383"/>
    <x v="49"/>
    <x v="856"/>
  </r>
  <r>
    <x v="384"/>
    <x v="50"/>
    <x v="857"/>
  </r>
  <r>
    <x v="384"/>
    <x v="36"/>
    <x v="858"/>
  </r>
  <r>
    <x v="384"/>
    <x v="50"/>
    <x v="859"/>
  </r>
  <r>
    <x v="385"/>
    <x v="24"/>
    <x v="860"/>
  </r>
  <r>
    <x v="385"/>
    <x v="24"/>
    <x v="861"/>
  </r>
  <r>
    <x v="385"/>
    <x v="10"/>
    <x v="862"/>
  </r>
  <r>
    <x v="385"/>
    <x v="36"/>
    <x v="863"/>
  </r>
  <r>
    <x v="385"/>
    <x v="47"/>
    <x v="864"/>
  </r>
  <r>
    <x v="385"/>
    <x v="40"/>
    <x v="865"/>
  </r>
  <r>
    <x v="386"/>
    <x v="26"/>
    <x v="866"/>
  </r>
  <r>
    <x v="386"/>
    <x v="47"/>
    <x v="867"/>
  </r>
  <r>
    <x v="387"/>
    <x v="26"/>
    <x v="868"/>
  </r>
  <r>
    <x v="388"/>
    <x v="24"/>
    <x v="869"/>
  </r>
  <r>
    <x v="388"/>
    <x v="24"/>
    <x v="870"/>
  </r>
  <r>
    <x v="388"/>
    <x v="10"/>
    <x v="871"/>
  </r>
  <r>
    <x v="388"/>
    <x v="10"/>
    <x v="872"/>
  </r>
  <r>
    <x v="389"/>
    <x v="24"/>
    <x v="873"/>
  </r>
  <r>
    <x v="389"/>
    <x v="10"/>
    <x v="874"/>
  </r>
  <r>
    <x v="389"/>
    <x v="10"/>
    <x v="875"/>
  </r>
  <r>
    <x v="389"/>
    <x v="36"/>
    <x v="876"/>
  </r>
  <r>
    <x v="389"/>
    <x v="36"/>
    <x v="877"/>
  </r>
  <r>
    <x v="389"/>
    <x v="36"/>
    <x v="878"/>
  </r>
  <r>
    <x v="389"/>
    <x v="36"/>
    <x v="879"/>
  </r>
  <r>
    <x v="390"/>
    <x v="50"/>
    <x v="880"/>
  </r>
  <r>
    <x v="390"/>
    <x v="10"/>
    <x v="881"/>
  </r>
  <r>
    <x v="390"/>
    <x v="10"/>
    <x v="882"/>
  </r>
  <r>
    <x v="391"/>
    <x v="10"/>
    <x v="883"/>
  </r>
  <r>
    <x v="391"/>
    <x v="50"/>
    <x v="884"/>
  </r>
  <r>
    <x v="391"/>
    <x v="10"/>
    <x v="885"/>
  </r>
  <r>
    <x v="392"/>
    <x v="40"/>
    <x v="886"/>
  </r>
  <r>
    <x v="393"/>
    <x v="10"/>
    <x v="887"/>
  </r>
  <r>
    <x v="393"/>
    <x v="10"/>
    <x v="888"/>
  </r>
  <r>
    <x v="394"/>
    <x v="40"/>
    <x v="889"/>
  </r>
  <r>
    <x v="395"/>
    <x v="40"/>
    <x v="890"/>
  </r>
  <r>
    <x v="396"/>
    <x v="40"/>
    <x v="891"/>
  </r>
  <r>
    <x v="397"/>
    <x v="24"/>
    <x v="892"/>
  </r>
  <r>
    <x v="398"/>
    <x v="24"/>
    <x v="893"/>
  </r>
  <r>
    <x v="398"/>
    <x v="24"/>
    <x v="894"/>
  </r>
  <r>
    <x v="399"/>
    <x v="24"/>
    <x v="895"/>
  </r>
  <r>
    <x v="399"/>
    <x v="24"/>
    <x v="772"/>
  </r>
  <r>
    <x v="399"/>
    <x v="24"/>
    <x v="896"/>
  </r>
  <r>
    <x v="400"/>
    <x v="24"/>
    <x v="897"/>
  </r>
  <r>
    <x v="401"/>
    <x v="24"/>
    <x v="898"/>
  </r>
  <r>
    <x v="402"/>
    <x v="51"/>
    <x v="899"/>
  </r>
  <r>
    <x v="402"/>
    <x v="24"/>
    <x v="900"/>
  </r>
  <r>
    <x v="403"/>
    <x v="24"/>
    <x v="901"/>
  </r>
  <r>
    <x v="404"/>
    <x v="24"/>
    <x v="902"/>
  </r>
  <r>
    <x v="405"/>
    <x v="24"/>
    <x v="903"/>
  </r>
  <r>
    <x v="406"/>
    <x v="24"/>
    <x v="904"/>
  </r>
  <r>
    <x v="406"/>
    <x v="24"/>
    <x v="905"/>
  </r>
  <r>
    <x v="407"/>
    <x v="47"/>
    <x v="906"/>
  </r>
  <r>
    <x v="408"/>
    <x v="51"/>
    <x v="907"/>
  </r>
  <r>
    <x v="409"/>
    <x v="24"/>
    <x v="908"/>
  </r>
  <r>
    <x v="410"/>
    <x v="24"/>
    <x v="909"/>
  </r>
  <r>
    <x v="411"/>
    <x v="52"/>
    <x v="910"/>
  </r>
  <r>
    <x v="411"/>
    <x v="47"/>
    <x v="911"/>
  </r>
  <r>
    <x v="412"/>
    <x v="51"/>
    <x v="912"/>
  </r>
  <r>
    <x v="412"/>
    <x v="51"/>
    <x v="913"/>
  </r>
  <r>
    <x v="412"/>
    <x v="51"/>
    <x v="914"/>
  </r>
  <r>
    <x v="412"/>
    <x v="47"/>
    <x v="915"/>
  </r>
  <r>
    <x v="413"/>
    <x v="21"/>
    <x v="916"/>
  </r>
  <r>
    <x v="413"/>
    <x v="10"/>
    <x v="917"/>
  </r>
  <r>
    <x v="414"/>
    <x v="51"/>
    <x v="918"/>
  </r>
  <r>
    <x v="414"/>
    <x v="52"/>
    <x v="919"/>
  </r>
  <r>
    <x v="415"/>
    <x v="10"/>
    <x v="32"/>
  </r>
  <r>
    <x v="415"/>
    <x v="21"/>
    <x v="920"/>
  </r>
  <r>
    <x v="415"/>
    <x v="33"/>
    <x v="7"/>
  </r>
  <r>
    <x v="415"/>
    <x v="33"/>
    <x v="7"/>
  </r>
  <r>
    <x v="416"/>
    <x v="53"/>
    <x v="921"/>
  </r>
  <r>
    <x v="417"/>
    <x v="10"/>
    <x v="32"/>
  </r>
  <r>
    <x v="417"/>
    <x v="10"/>
    <x v="922"/>
  </r>
  <r>
    <x v="417"/>
    <x v="21"/>
    <x v="923"/>
  </r>
  <r>
    <x v="417"/>
    <x v="24"/>
    <x v="924"/>
  </r>
  <r>
    <x v="417"/>
    <x v="54"/>
    <x v="925"/>
  </r>
  <r>
    <x v="417"/>
    <x v="54"/>
    <x v="926"/>
  </r>
  <r>
    <x v="417"/>
    <x v="54"/>
    <x v="927"/>
  </r>
  <r>
    <x v="417"/>
    <x v="21"/>
    <x v="928"/>
  </r>
  <r>
    <x v="417"/>
    <x v="10"/>
    <x v="929"/>
  </r>
  <r>
    <x v="417"/>
    <x v="10"/>
    <x v="930"/>
  </r>
  <r>
    <x v="417"/>
    <x v="10"/>
    <x v="931"/>
  </r>
  <r>
    <x v="417"/>
    <x v="10"/>
    <x v="932"/>
  </r>
  <r>
    <x v="418"/>
    <x v="21"/>
    <x v="933"/>
  </r>
  <r>
    <x v="418"/>
    <x v="24"/>
    <x v="934"/>
  </r>
  <r>
    <x v="419"/>
    <x v="51"/>
    <x v="935"/>
  </r>
  <r>
    <x v="419"/>
    <x v="24"/>
    <x v="936"/>
  </r>
  <r>
    <x v="419"/>
    <x v="54"/>
    <x v="937"/>
  </r>
  <r>
    <x v="419"/>
    <x v="51"/>
    <x v="938"/>
  </r>
  <r>
    <x v="420"/>
    <x v="54"/>
    <x v="939"/>
  </r>
  <r>
    <x v="420"/>
    <x v="54"/>
    <x v="940"/>
  </r>
  <r>
    <x v="420"/>
    <x v="10"/>
    <x v="941"/>
  </r>
  <r>
    <x v="421"/>
    <x v="55"/>
    <x v="942"/>
  </r>
  <r>
    <x v="421"/>
    <x v="52"/>
    <x v="943"/>
  </r>
  <r>
    <x v="421"/>
    <x v="10"/>
    <x v="944"/>
  </r>
  <r>
    <x v="422"/>
    <x v="10"/>
    <x v="428"/>
  </r>
  <r>
    <x v="422"/>
    <x v="54"/>
    <x v="945"/>
  </r>
  <r>
    <x v="422"/>
    <x v="51"/>
    <x v="946"/>
  </r>
  <r>
    <x v="422"/>
    <x v="21"/>
    <x v="947"/>
  </r>
  <r>
    <x v="422"/>
    <x v="52"/>
    <x v="948"/>
  </r>
  <r>
    <x v="422"/>
    <x v="10"/>
    <x v="949"/>
  </r>
  <r>
    <x v="423"/>
    <x v="21"/>
    <x v="950"/>
  </r>
  <r>
    <x v="424"/>
    <x v="55"/>
    <x v="951"/>
  </r>
  <r>
    <x v="425"/>
    <x v="21"/>
    <x v="952"/>
  </r>
  <r>
    <x v="425"/>
    <x v="25"/>
    <x v="377"/>
  </r>
  <r>
    <x v="426"/>
    <x v="24"/>
    <x v="953"/>
  </r>
  <r>
    <x v="426"/>
    <x v="21"/>
    <x v="954"/>
  </r>
  <r>
    <x v="426"/>
    <x v="21"/>
    <x v="955"/>
  </r>
  <r>
    <x v="426"/>
    <x v="52"/>
    <x v="956"/>
  </r>
  <r>
    <x v="426"/>
    <x v="10"/>
    <x v="957"/>
  </r>
  <r>
    <x v="426"/>
    <x v="10"/>
    <x v="958"/>
  </r>
  <r>
    <x v="426"/>
    <x v="10"/>
    <x v="954"/>
  </r>
  <r>
    <x v="426"/>
    <x v="10"/>
    <x v="943"/>
  </r>
  <r>
    <x v="426"/>
    <x v="10"/>
    <x v="959"/>
  </r>
  <r>
    <x v="426"/>
    <x v="29"/>
    <x v="7"/>
  </r>
  <r>
    <x v="426"/>
    <x v="25"/>
    <x v="960"/>
  </r>
  <r>
    <x v="427"/>
    <x v="21"/>
    <x v="961"/>
  </r>
  <r>
    <x v="427"/>
    <x v="21"/>
    <x v="962"/>
  </r>
  <r>
    <x v="428"/>
    <x v="21"/>
    <x v="963"/>
  </r>
  <r>
    <x v="428"/>
    <x v="24"/>
    <x v="964"/>
  </r>
  <r>
    <x v="428"/>
    <x v="10"/>
    <x v="965"/>
  </r>
  <r>
    <x v="429"/>
    <x v="54"/>
    <x v="966"/>
  </r>
  <r>
    <x v="429"/>
    <x v="10"/>
    <x v="967"/>
  </r>
  <r>
    <x v="429"/>
    <x v="53"/>
    <x v="968"/>
  </r>
  <r>
    <x v="430"/>
    <x v="52"/>
    <x v="969"/>
  </r>
  <r>
    <x v="430"/>
    <x v="52"/>
    <x v="970"/>
  </r>
  <r>
    <x v="431"/>
    <x v="52"/>
    <x v="971"/>
  </r>
  <r>
    <x v="431"/>
    <x v="52"/>
    <x v="972"/>
  </r>
  <r>
    <x v="432"/>
    <x v="52"/>
    <x v="973"/>
  </r>
  <r>
    <x v="432"/>
    <x v="52"/>
    <x v="974"/>
  </r>
  <r>
    <x v="433"/>
    <x v="40"/>
    <x v="975"/>
  </r>
  <r>
    <x v="434"/>
    <x v="10"/>
    <x v="428"/>
  </r>
  <r>
    <x v="434"/>
    <x v="21"/>
    <x v="976"/>
  </r>
  <r>
    <x v="434"/>
    <x v="54"/>
    <x v="977"/>
  </r>
  <r>
    <x v="434"/>
    <x v="40"/>
    <x v="978"/>
  </r>
  <r>
    <x v="435"/>
    <x v="33"/>
    <x v="7"/>
  </r>
  <r>
    <x v="435"/>
    <x v="33"/>
    <x v="7"/>
  </r>
  <r>
    <x v="436"/>
    <x v="52"/>
    <x v="979"/>
  </r>
  <r>
    <x v="437"/>
    <x v="52"/>
    <x v="980"/>
  </r>
  <r>
    <x v="437"/>
    <x v="21"/>
    <x v="981"/>
  </r>
  <r>
    <x v="438"/>
    <x v="36"/>
    <x v="982"/>
  </r>
  <r>
    <x v="439"/>
    <x v="10"/>
    <x v="983"/>
  </r>
  <r>
    <x v="439"/>
    <x v="10"/>
    <x v="984"/>
  </r>
  <r>
    <x v="440"/>
    <x v="10"/>
    <x v="40"/>
  </r>
  <r>
    <x v="440"/>
    <x v="24"/>
    <x v="985"/>
  </r>
  <r>
    <x v="440"/>
    <x v="10"/>
    <x v="986"/>
  </r>
  <r>
    <x v="441"/>
    <x v="10"/>
    <x v="987"/>
  </r>
  <r>
    <x v="441"/>
    <x v="24"/>
    <x v="988"/>
  </r>
  <r>
    <x v="441"/>
    <x v="54"/>
    <x v="989"/>
  </r>
  <r>
    <x v="441"/>
    <x v="10"/>
    <x v="990"/>
  </r>
  <r>
    <x v="442"/>
    <x v="24"/>
    <x v="991"/>
  </r>
  <r>
    <x v="442"/>
    <x v="10"/>
    <x v="992"/>
  </r>
  <r>
    <x v="443"/>
    <x v="24"/>
    <x v="993"/>
  </r>
  <r>
    <x v="443"/>
    <x v="10"/>
    <x v="994"/>
  </r>
  <r>
    <x v="444"/>
    <x v="24"/>
    <x v="995"/>
  </r>
  <r>
    <x v="444"/>
    <x v="36"/>
    <x v="996"/>
  </r>
  <r>
    <x v="444"/>
    <x v="24"/>
    <x v="997"/>
  </r>
  <r>
    <x v="444"/>
    <x v="24"/>
    <x v="998"/>
  </r>
  <r>
    <x v="444"/>
    <x v="10"/>
    <x v="999"/>
  </r>
  <r>
    <x v="444"/>
    <x v="10"/>
    <x v="1000"/>
  </r>
  <r>
    <x v="444"/>
    <x v="10"/>
    <x v="1001"/>
  </r>
  <r>
    <x v="444"/>
    <x v="10"/>
    <x v="1002"/>
  </r>
  <r>
    <x v="444"/>
    <x v="10"/>
    <x v="1003"/>
  </r>
  <r>
    <x v="444"/>
    <x v="10"/>
    <x v="1004"/>
  </r>
  <r>
    <x v="444"/>
    <x v="10"/>
    <x v="1005"/>
  </r>
  <r>
    <x v="444"/>
    <x v="10"/>
    <x v="1006"/>
  </r>
  <r>
    <x v="444"/>
    <x v="40"/>
    <x v="1007"/>
  </r>
  <r>
    <x v="445"/>
    <x v="24"/>
    <x v="1008"/>
  </r>
  <r>
    <x v="445"/>
    <x v="36"/>
    <x v="1009"/>
  </r>
  <r>
    <x v="445"/>
    <x v="24"/>
    <x v="1010"/>
  </r>
  <r>
    <x v="445"/>
    <x v="36"/>
    <x v="1011"/>
  </r>
  <r>
    <x v="445"/>
    <x v="10"/>
    <x v="1012"/>
  </r>
  <r>
    <x v="445"/>
    <x v="10"/>
    <x v="1013"/>
  </r>
  <r>
    <x v="445"/>
    <x v="10"/>
    <x v="1014"/>
  </r>
  <r>
    <x v="445"/>
    <x v="10"/>
    <x v="1015"/>
  </r>
  <r>
    <x v="445"/>
    <x v="10"/>
    <x v="1016"/>
  </r>
  <r>
    <x v="445"/>
    <x v="10"/>
    <x v="1017"/>
  </r>
  <r>
    <x v="445"/>
    <x v="40"/>
    <x v="1018"/>
  </r>
  <r>
    <x v="446"/>
    <x v="36"/>
    <x v="1019"/>
  </r>
  <r>
    <x v="446"/>
    <x v="24"/>
    <x v="1020"/>
  </r>
  <r>
    <x v="446"/>
    <x v="24"/>
    <x v="962"/>
  </r>
  <r>
    <x v="446"/>
    <x v="24"/>
    <x v="1021"/>
  </r>
  <r>
    <x v="446"/>
    <x v="10"/>
    <x v="1022"/>
  </r>
  <r>
    <x v="446"/>
    <x v="10"/>
    <x v="1023"/>
  </r>
  <r>
    <x v="446"/>
    <x v="10"/>
    <x v="1024"/>
  </r>
  <r>
    <x v="446"/>
    <x v="10"/>
    <x v="1025"/>
  </r>
  <r>
    <x v="446"/>
    <x v="10"/>
    <x v="1026"/>
  </r>
  <r>
    <x v="446"/>
    <x v="10"/>
    <x v="997"/>
  </r>
  <r>
    <x v="446"/>
    <x v="10"/>
    <x v="1027"/>
  </r>
  <r>
    <x v="446"/>
    <x v="10"/>
    <x v="1028"/>
  </r>
  <r>
    <x v="446"/>
    <x v="10"/>
    <x v="1029"/>
  </r>
  <r>
    <x v="446"/>
    <x v="10"/>
    <x v="1030"/>
  </r>
  <r>
    <x v="447"/>
    <x v="24"/>
    <x v="1031"/>
  </r>
  <r>
    <x v="447"/>
    <x v="10"/>
    <x v="1032"/>
  </r>
  <r>
    <x v="447"/>
    <x v="10"/>
    <x v="1033"/>
  </r>
  <r>
    <x v="447"/>
    <x v="10"/>
    <x v="1034"/>
  </r>
  <r>
    <x v="447"/>
    <x v="36"/>
    <x v="1035"/>
  </r>
  <r>
    <x v="447"/>
    <x v="40"/>
    <x v="1036"/>
  </r>
  <r>
    <x v="448"/>
    <x v="54"/>
    <x v="1037"/>
  </r>
  <r>
    <x v="448"/>
    <x v="24"/>
    <x v="1038"/>
  </r>
  <r>
    <x v="448"/>
    <x v="24"/>
    <x v="1039"/>
  </r>
  <r>
    <x v="448"/>
    <x v="10"/>
    <x v="1040"/>
  </r>
  <r>
    <x v="448"/>
    <x v="10"/>
    <x v="1041"/>
  </r>
  <r>
    <x v="448"/>
    <x v="10"/>
    <x v="1042"/>
  </r>
  <r>
    <x v="448"/>
    <x v="10"/>
    <x v="1043"/>
  </r>
  <r>
    <x v="448"/>
    <x v="10"/>
    <x v="1044"/>
  </r>
  <r>
    <x v="448"/>
    <x v="10"/>
    <x v="1045"/>
  </r>
  <r>
    <x v="448"/>
    <x v="10"/>
    <x v="1046"/>
  </r>
  <r>
    <x v="448"/>
    <x v="40"/>
    <x v="1047"/>
  </r>
  <r>
    <x v="448"/>
    <x v="36"/>
    <x v="1048"/>
  </r>
  <r>
    <x v="448"/>
    <x v="36"/>
    <x v="1049"/>
  </r>
  <r>
    <x v="448"/>
    <x v="36"/>
    <x v="1050"/>
  </r>
  <r>
    <x v="448"/>
    <x v="40"/>
    <x v="1051"/>
  </r>
  <r>
    <x v="448"/>
    <x v="36"/>
    <x v="1052"/>
  </r>
  <r>
    <x v="449"/>
    <x v="36"/>
    <x v="1053"/>
  </r>
  <r>
    <x v="450"/>
    <x v="36"/>
    <x v="1054"/>
  </r>
  <r>
    <x v="450"/>
    <x v="36"/>
    <x v="1055"/>
  </r>
  <r>
    <x v="451"/>
    <x v="36"/>
    <x v="1056"/>
  </r>
  <r>
    <x v="451"/>
    <x v="36"/>
    <x v="1057"/>
  </r>
  <r>
    <x v="451"/>
    <x v="36"/>
    <x v="1058"/>
  </r>
  <r>
    <x v="452"/>
    <x v="10"/>
    <x v="1059"/>
  </r>
  <r>
    <x v="452"/>
    <x v="10"/>
    <x v="1060"/>
  </r>
  <r>
    <x v="453"/>
    <x v="52"/>
    <x v="1061"/>
  </r>
  <r>
    <x v="453"/>
    <x v="10"/>
    <x v="1062"/>
  </r>
  <r>
    <x v="454"/>
    <x v="52"/>
    <x v="1063"/>
  </r>
  <r>
    <x v="455"/>
    <x v="36"/>
    <x v="1064"/>
  </r>
  <r>
    <x v="456"/>
    <x v="54"/>
    <x v="1065"/>
  </r>
  <r>
    <x v="456"/>
    <x v="10"/>
    <x v="1066"/>
  </r>
  <r>
    <x v="457"/>
    <x v="25"/>
    <x v="1067"/>
  </r>
  <r>
    <x v="458"/>
    <x v="52"/>
    <x v="1068"/>
  </r>
  <r>
    <x v="458"/>
    <x v="10"/>
    <x v="1061"/>
  </r>
  <r>
    <x v="458"/>
    <x v="10"/>
    <x v="1069"/>
  </r>
  <r>
    <x v="459"/>
    <x v="52"/>
    <x v="1070"/>
  </r>
  <r>
    <x v="460"/>
    <x v="54"/>
    <x v="1071"/>
  </r>
  <r>
    <x v="460"/>
    <x v="54"/>
    <x v="1072"/>
  </r>
  <r>
    <x v="460"/>
    <x v="10"/>
    <x v="1073"/>
  </r>
  <r>
    <x v="460"/>
    <x v="10"/>
    <x v="1074"/>
  </r>
  <r>
    <x v="460"/>
    <x v="10"/>
    <x v="1075"/>
  </r>
  <r>
    <x v="460"/>
    <x v="10"/>
    <x v="1076"/>
  </r>
  <r>
    <x v="460"/>
    <x v="40"/>
    <x v="1077"/>
  </r>
  <r>
    <x v="460"/>
    <x v="40"/>
    <x v="1078"/>
  </r>
  <r>
    <x v="461"/>
    <x v="53"/>
    <x v="1079"/>
  </r>
  <r>
    <x v="461"/>
    <x v="54"/>
    <x v="1080"/>
  </r>
  <r>
    <x v="462"/>
    <x v="25"/>
    <x v="209"/>
  </r>
  <r>
    <x v="462"/>
    <x v="54"/>
    <x v="1081"/>
  </r>
  <r>
    <x v="463"/>
    <x v="25"/>
    <x v="1082"/>
  </r>
  <r>
    <x v="464"/>
    <x v="21"/>
    <x v="1083"/>
  </r>
  <r>
    <x v="465"/>
    <x v="36"/>
    <x v="1084"/>
  </r>
  <r>
    <x v="465"/>
    <x v="36"/>
    <x v="1085"/>
  </r>
  <r>
    <x v="466"/>
    <x v="21"/>
    <x v="1086"/>
  </r>
  <r>
    <x v="466"/>
    <x v="36"/>
    <x v="1087"/>
  </r>
  <r>
    <x v="466"/>
    <x v="10"/>
    <x v="1088"/>
  </r>
  <r>
    <x v="466"/>
    <x v="10"/>
    <x v="1089"/>
  </r>
  <r>
    <x v="467"/>
    <x v="36"/>
    <x v="1090"/>
  </r>
  <r>
    <x v="467"/>
    <x v="54"/>
    <x v="1091"/>
  </r>
  <r>
    <x v="467"/>
    <x v="10"/>
    <x v="1092"/>
  </r>
  <r>
    <x v="467"/>
    <x v="10"/>
    <x v="1093"/>
  </r>
  <r>
    <x v="467"/>
    <x v="10"/>
    <x v="1094"/>
  </r>
  <r>
    <x v="468"/>
    <x v="54"/>
    <x v="1095"/>
  </r>
  <r>
    <x v="469"/>
    <x v="36"/>
    <x v="1096"/>
  </r>
  <r>
    <x v="469"/>
    <x v="52"/>
    <x v="1097"/>
  </r>
  <r>
    <x v="469"/>
    <x v="40"/>
    <x v="1098"/>
  </r>
  <r>
    <x v="470"/>
    <x v="36"/>
    <x v="1099"/>
  </r>
  <r>
    <x v="471"/>
    <x v="24"/>
    <x v="1100"/>
  </r>
  <r>
    <x v="471"/>
    <x v="24"/>
    <x v="1101"/>
  </r>
  <r>
    <x v="471"/>
    <x v="10"/>
    <x v="1102"/>
  </r>
  <r>
    <x v="471"/>
    <x v="10"/>
    <x v="1038"/>
  </r>
  <r>
    <x v="471"/>
    <x v="10"/>
    <x v="1103"/>
  </r>
  <r>
    <x v="471"/>
    <x v="10"/>
    <x v="1104"/>
  </r>
  <r>
    <x v="472"/>
    <x v="36"/>
    <x v="1105"/>
  </r>
  <r>
    <x v="472"/>
    <x v="10"/>
    <x v="1106"/>
  </r>
  <r>
    <x v="472"/>
    <x v="10"/>
    <x v="1107"/>
  </r>
  <r>
    <x v="472"/>
    <x v="10"/>
    <x v="1108"/>
  </r>
  <r>
    <x v="473"/>
    <x v="40"/>
    <x v="1109"/>
  </r>
  <r>
    <x v="474"/>
    <x v="36"/>
    <x v="1110"/>
  </r>
  <r>
    <x v="474"/>
    <x v="54"/>
    <x v="1111"/>
  </r>
  <r>
    <x v="475"/>
    <x v="54"/>
    <x v="1112"/>
  </r>
  <r>
    <x v="475"/>
    <x v="40"/>
    <x v="1113"/>
  </r>
  <r>
    <x v="475"/>
    <x v="40"/>
    <x v="1114"/>
  </r>
  <r>
    <x v="476"/>
    <x v="10"/>
    <x v="1115"/>
  </r>
  <r>
    <x v="476"/>
    <x v="10"/>
    <x v="1116"/>
  </r>
  <r>
    <x v="477"/>
    <x v="10"/>
    <x v="848"/>
  </r>
  <r>
    <x v="477"/>
    <x v="56"/>
    <x v="1117"/>
  </r>
  <r>
    <x v="477"/>
    <x v="25"/>
    <x v="1118"/>
  </r>
  <r>
    <x v="478"/>
    <x v="29"/>
    <x v="7"/>
  </r>
  <r>
    <x v="478"/>
    <x v="25"/>
    <x v="1119"/>
  </r>
  <r>
    <x v="479"/>
    <x v="52"/>
    <x v="1120"/>
  </r>
  <r>
    <x v="479"/>
    <x v="54"/>
    <x v="1121"/>
  </r>
  <r>
    <x v="480"/>
    <x v="54"/>
    <x v="1122"/>
  </r>
  <r>
    <x v="480"/>
    <x v="40"/>
    <x v="1123"/>
  </r>
  <r>
    <x v="480"/>
    <x v="54"/>
    <x v="1124"/>
  </r>
  <r>
    <x v="480"/>
    <x v="52"/>
    <x v="1125"/>
  </r>
  <r>
    <x v="480"/>
    <x v="56"/>
    <x v="1126"/>
  </r>
  <r>
    <x v="480"/>
    <x v="54"/>
    <x v="1127"/>
  </r>
  <r>
    <x v="481"/>
    <x v="10"/>
    <x v="103"/>
  </r>
  <r>
    <x v="481"/>
    <x v="25"/>
    <x v="1128"/>
  </r>
  <r>
    <x v="482"/>
    <x v="36"/>
    <x v="1129"/>
  </r>
  <r>
    <x v="482"/>
    <x v="10"/>
    <x v="1130"/>
  </r>
  <r>
    <x v="482"/>
    <x v="29"/>
    <x v="7"/>
  </r>
  <r>
    <x v="482"/>
    <x v="25"/>
    <x v="1131"/>
  </r>
  <r>
    <x v="483"/>
    <x v="36"/>
    <x v="1132"/>
  </r>
  <r>
    <x v="483"/>
    <x v="10"/>
    <x v="1129"/>
  </r>
  <r>
    <x v="483"/>
    <x v="10"/>
    <x v="1133"/>
  </r>
  <r>
    <x v="483"/>
    <x v="56"/>
    <x v="1134"/>
  </r>
  <r>
    <x v="483"/>
    <x v="25"/>
    <x v="1135"/>
  </r>
  <r>
    <x v="483"/>
    <x v="57"/>
    <x v="1136"/>
  </r>
  <r>
    <x v="484"/>
    <x v="10"/>
    <x v="1137"/>
  </r>
  <r>
    <x v="484"/>
    <x v="10"/>
    <x v="1138"/>
  </r>
  <r>
    <x v="484"/>
    <x v="10"/>
    <x v="1139"/>
  </r>
  <r>
    <x v="484"/>
    <x v="29"/>
    <x v="7"/>
  </r>
  <r>
    <x v="484"/>
    <x v="56"/>
    <x v="1140"/>
  </r>
  <r>
    <x v="484"/>
    <x v="52"/>
    <x v="1141"/>
  </r>
  <r>
    <x v="484"/>
    <x v="58"/>
    <x v="1142"/>
  </r>
  <r>
    <x v="484"/>
    <x v="25"/>
    <x v="1143"/>
  </r>
  <r>
    <x v="485"/>
    <x v="40"/>
    <x v="1144"/>
  </r>
  <r>
    <x v="485"/>
    <x v="58"/>
    <x v="1145"/>
  </r>
  <r>
    <x v="486"/>
    <x v="54"/>
    <x v="1146"/>
  </r>
  <r>
    <x v="486"/>
    <x v="54"/>
    <x v="1147"/>
  </r>
  <r>
    <x v="486"/>
    <x v="54"/>
    <x v="1148"/>
  </r>
  <r>
    <x v="486"/>
    <x v="52"/>
    <x v="1149"/>
  </r>
  <r>
    <x v="486"/>
    <x v="25"/>
    <x v="1150"/>
  </r>
  <r>
    <x v="486"/>
    <x v="36"/>
    <x v="1151"/>
  </r>
  <r>
    <x v="487"/>
    <x v="10"/>
    <x v="1152"/>
  </r>
  <r>
    <x v="487"/>
    <x v="10"/>
    <x v="493"/>
  </r>
  <r>
    <x v="487"/>
    <x v="29"/>
    <x v="7"/>
  </r>
  <r>
    <x v="487"/>
    <x v="25"/>
    <x v="1153"/>
  </r>
  <r>
    <x v="488"/>
    <x v="24"/>
    <x v="1154"/>
  </r>
  <r>
    <x v="488"/>
    <x v="57"/>
    <x v="1155"/>
  </r>
  <r>
    <x v="489"/>
    <x v="24"/>
    <x v="1156"/>
  </r>
  <r>
    <x v="489"/>
    <x v="52"/>
    <x v="1157"/>
  </r>
  <r>
    <x v="489"/>
    <x v="36"/>
    <x v="1158"/>
  </r>
  <r>
    <x v="489"/>
    <x v="58"/>
    <x v="1159"/>
  </r>
  <r>
    <x v="489"/>
    <x v="59"/>
    <x v="1160"/>
  </r>
  <r>
    <x v="490"/>
    <x v="36"/>
    <x v="1161"/>
  </r>
  <r>
    <x v="490"/>
    <x v="59"/>
    <x v="1162"/>
  </r>
  <r>
    <x v="490"/>
    <x v="58"/>
    <x v="1163"/>
  </r>
  <r>
    <x v="490"/>
    <x v="59"/>
    <x v="1164"/>
  </r>
  <r>
    <x v="490"/>
    <x v="52"/>
    <x v="1165"/>
  </r>
  <r>
    <x v="491"/>
    <x v="58"/>
    <x v="1166"/>
  </r>
  <r>
    <x v="492"/>
    <x v="58"/>
    <x v="1167"/>
  </r>
  <r>
    <x v="493"/>
    <x v="52"/>
    <x v="1168"/>
  </r>
  <r>
    <x v="494"/>
    <x v="59"/>
    <x v="1169"/>
  </r>
  <r>
    <x v="494"/>
    <x v="60"/>
    <x v="1170"/>
  </r>
  <r>
    <x v="494"/>
    <x v="54"/>
    <x v="1121"/>
  </r>
  <r>
    <x v="495"/>
    <x v="58"/>
    <x v="1171"/>
  </r>
  <r>
    <x v="495"/>
    <x v="60"/>
    <x v="1172"/>
  </r>
  <r>
    <x v="496"/>
    <x v="58"/>
    <x v="1173"/>
  </r>
  <r>
    <x v="497"/>
    <x v="51"/>
    <x v="1174"/>
  </r>
  <r>
    <x v="497"/>
    <x v="10"/>
    <x v="1175"/>
  </r>
  <r>
    <x v="497"/>
    <x v="58"/>
    <x v="1176"/>
  </r>
  <r>
    <x v="497"/>
    <x v="60"/>
    <x v="1177"/>
  </r>
  <r>
    <x v="498"/>
    <x v="52"/>
    <x v="1178"/>
  </r>
  <r>
    <x v="498"/>
    <x v="54"/>
    <x v="1095"/>
  </r>
  <r>
    <x v="498"/>
    <x v="60"/>
    <x v="1179"/>
  </r>
  <r>
    <x v="499"/>
    <x v="51"/>
    <x v="1180"/>
  </r>
  <r>
    <x v="499"/>
    <x v="51"/>
    <x v="1181"/>
  </r>
  <r>
    <x v="499"/>
    <x v="10"/>
    <x v="1182"/>
  </r>
  <r>
    <x v="499"/>
    <x v="10"/>
    <x v="1183"/>
  </r>
  <r>
    <x v="500"/>
    <x v="40"/>
    <x v="1184"/>
  </r>
  <r>
    <x v="500"/>
    <x v="60"/>
    <x v="1185"/>
  </r>
  <r>
    <x v="500"/>
    <x v="60"/>
    <x v="1186"/>
  </r>
  <r>
    <x v="501"/>
    <x v="40"/>
    <x v="1187"/>
  </r>
  <r>
    <x v="501"/>
    <x v="51"/>
    <x v="1188"/>
  </r>
  <r>
    <x v="501"/>
    <x v="54"/>
    <x v="1189"/>
  </r>
  <r>
    <x v="501"/>
    <x v="60"/>
    <x v="1190"/>
  </r>
  <r>
    <x v="501"/>
    <x v="60"/>
    <x v="1191"/>
  </r>
  <r>
    <x v="501"/>
    <x v="40"/>
    <x v="1192"/>
  </r>
  <r>
    <x v="501"/>
    <x v="51"/>
    <x v="1193"/>
  </r>
  <r>
    <x v="502"/>
    <x v="54"/>
    <x v="1194"/>
  </r>
  <r>
    <x v="502"/>
    <x v="54"/>
    <x v="1195"/>
  </r>
  <r>
    <x v="502"/>
    <x v="54"/>
    <x v="1194"/>
  </r>
  <r>
    <x v="503"/>
    <x v="40"/>
    <x v="1196"/>
  </r>
  <r>
    <x v="503"/>
    <x v="51"/>
    <x v="1197"/>
  </r>
  <r>
    <x v="503"/>
    <x v="40"/>
    <x v="1198"/>
  </r>
  <r>
    <x v="503"/>
    <x v="52"/>
    <x v="1199"/>
  </r>
  <r>
    <x v="504"/>
    <x v="10"/>
    <x v="1200"/>
  </r>
  <r>
    <x v="504"/>
    <x v="10"/>
    <x v="1201"/>
  </r>
  <r>
    <x v="504"/>
    <x v="61"/>
    <x v="1202"/>
  </r>
  <r>
    <x v="504"/>
    <x v="36"/>
    <x v="1203"/>
  </r>
  <r>
    <x v="505"/>
    <x v="40"/>
    <x v="1204"/>
  </r>
  <r>
    <x v="505"/>
    <x v="52"/>
    <x v="1205"/>
  </r>
  <r>
    <x v="506"/>
    <x v="61"/>
    <x v="7"/>
  </r>
  <r>
    <x v="506"/>
    <x v="52"/>
    <x v="1206"/>
  </r>
  <r>
    <x v="506"/>
    <x v="36"/>
    <x v="1207"/>
  </r>
  <r>
    <x v="507"/>
    <x v="52"/>
    <x v="1070"/>
  </r>
  <r>
    <x v="507"/>
    <x v="52"/>
    <x v="1208"/>
  </r>
  <r>
    <x v="508"/>
    <x v="10"/>
    <x v="1209"/>
  </r>
  <r>
    <x v="509"/>
    <x v="54"/>
    <x v="1210"/>
  </r>
  <r>
    <x v="510"/>
    <x v="54"/>
    <x v="1211"/>
  </r>
  <r>
    <x v="510"/>
    <x v="10"/>
    <x v="1212"/>
  </r>
  <r>
    <x v="510"/>
    <x v="10"/>
    <x v="1071"/>
  </r>
  <r>
    <x v="510"/>
    <x v="10"/>
    <x v="1213"/>
  </r>
  <r>
    <x v="510"/>
    <x v="10"/>
    <x v="1214"/>
  </r>
  <r>
    <x v="510"/>
    <x v="52"/>
    <x v="1215"/>
  </r>
  <r>
    <x v="510"/>
    <x v="25"/>
    <x v="1216"/>
  </r>
  <r>
    <x v="510"/>
    <x v="25"/>
    <x v="1217"/>
  </r>
  <r>
    <x v="511"/>
    <x v="54"/>
    <x v="1195"/>
  </r>
  <r>
    <x v="511"/>
    <x v="54"/>
    <x v="1218"/>
  </r>
  <r>
    <x v="512"/>
    <x v="54"/>
    <x v="1219"/>
  </r>
  <r>
    <x v="513"/>
    <x v="54"/>
    <x v="1195"/>
  </r>
  <r>
    <x v="513"/>
    <x v="62"/>
    <x v="1220"/>
  </r>
  <r>
    <x v="514"/>
    <x v="54"/>
    <x v="1221"/>
  </r>
  <r>
    <x v="515"/>
    <x v="54"/>
    <x v="1222"/>
  </r>
  <r>
    <x v="516"/>
    <x v="54"/>
    <x v="1223"/>
  </r>
  <r>
    <x v="516"/>
    <x v="10"/>
    <x v="1224"/>
  </r>
  <r>
    <x v="517"/>
    <x v="10"/>
    <x v="77"/>
  </r>
  <r>
    <x v="517"/>
    <x v="10"/>
    <x v="1201"/>
  </r>
  <r>
    <x v="518"/>
    <x v="36"/>
    <x v="1225"/>
  </r>
  <r>
    <x v="518"/>
    <x v="25"/>
    <x v="1226"/>
  </r>
  <r>
    <x v="518"/>
    <x v="54"/>
    <x v="1227"/>
  </r>
  <r>
    <x v="519"/>
    <x v="36"/>
    <x v="7"/>
  </r>
  <r>
    <x v="519"/>
    <x v="63"/>
    <x v="1228"/>
  </r>
  <r>
    <x v="519"/>
    <x v="25"/>
    <x v="1229"/>
  </r>
  <r>
    <x v="520"/>
    <x v="10"/>
    <x v="1230"/>
  </r>
  <r>
    <x v="520"/>
    <x v="10"/>
    <x v="1231"/>
  </r>
  <r>
    <x v="520"/>
    <x v="54"/>
    <x v="1232"/>
  </r>
  <r>
    <x v="520"/>
    <x v="63"/>
    <x v="1233"/>
  </r>
  <r>
    <x v="521"/>
    <x v="64"/>
    <x v="1234"/>
  </r>
  <r>
    <x v="522"/>
    <x v="62"/>
    <x v="1235"/>
  </r>
  <r>
    <x v="522"/>
    <x v="64"/>
    <x v="1236"/>
  </r>
  <r>
    <x v="522"/>
    <x v="54"/>
    <x v="1237"/>
  </r>
  <r>
    <x v="522"/>
    <x v="36"/>
    <x v="1238"/>
  </r>
  <r>
    <x v="523"/>
    <x v="61"/>
    <x v="1239"/>
  </r>
  <r>
    <x v="523"/>
    <x v="10"/>
    <x v="1240"/>
  </r>
  <r>
    <x v="523"/>
    <x v="10"/>
    <x v="1241"/>
  </r>
  <r>
    <x v="523"/>
    <x v="10"/>
    <x v="1181"/>
  </r>
  <r>
    <x v="523"/>
    <x v="10"/>
    <x v="1242"/>
  </r>
  <r>
    <x v="523"/>
    <x v="10"/>
    <x v="1180"/>
  </r>
  <r>
    <x v="523"/>
    <x v="10"/>
    <x v="1243"/>
  </r>
  <r>
    <x v="524"/>
    <x v="54"/>
    <x v="1244"/>
  </r>
  <r>
    <x v="524"/>
    <x v="36"/>
    <x v="1245"/>
  </r>
  <r>
    <x v="525"/>
    <x v="36"/>
    <x v="1246"/>
  </r>
  <r>
    <x v="525"/>
    <x v="36"/>
    <x v="1247"/>
  </r>
  <r>
    <x v="526"/>
    <x v="54"/>
    <x v="1248"/>
  </r>
  <r>
    <x v="526"/>
    <x v="54"/>
    <x v="1249"/>
  </r>
  <r>
    <x v="527"/>
    <x v="10"/>
    <x v="1250"/>
  </r>
  <r>
    <x v="527"/>
    <x v="54"/>
    <x v="1251"/>
  </r>
  <r>
    <x v="527"/>
    <x v="10"/>
    <x v="1252"/>
  </r>
  <r>
    <x v="527"/>
    <x v="10"/>
    <x v="1251"/>
  </r>
  <r>
    <x v="527"/>
    <x v="40"/>
    <x v="1253"/>
  </r>
  <r>
    <x v="528"/>
    <x v="10"/>
    <x v="1254"/>
  </r>
  <r>
    <x v="528"/>
    <x v="10"/>
    <x v="1255"/>
  </r>
  <r>
    <x v="529"/>
    <x v="40"/>
    <x v="1256"/>
  </r>
  <r>
    <x v="529"/>
    <x v="36"/>
    <x v="1257"/>
  </r>
  <r>
    <x v="530"/>
    <x v="10"/>
    <x v="32"/>
  </r>
  <r>
    <x v="530"/>
    <x v="10"/>
    <x v="33"/>
  </r>
  <r>
    <x v="530"/>
    <x v="10"/>
    <x v="32"/>
  </r>
  <r>
    <x v="530"/>
    <x v="54"/>
    <x v="1258"/>
  </r>
  <r>
    <x v="531"/>
    <x v="54"/>
    <x v="1259"/>
  </r>
  <r>
    <x v="531"/>
    <x v="54"/>
    <x v="1260"/>
  </r>
  <r>
    <x v="532"/>
    <x v="54"/>
    <x v="1261"/>
  </r>
  <r>
    <x v="532"/>
    <x v="51"/>
    <x v="1262"/>
  </r>
  <r>
    <x v="532"/>
    <x v="40"/>
    <x v="1263"/>
  </r>
  <r>
    <x v="533"/>
    <x v="54"/>
    <x v="1223"/>
  </r>
  <r>
    <x v="534"/>
    <x v="36"/>
    <x v="1264"/>
  </r>
  <r>
    <x v="534"/>
    <x v="25"/>
    <x v="1265"/>
  </r>
  <r>
    <x v="535"/>
    <x v="36"/>
    <x v="1266"/>
  </r>
  <r>
    <x v="535"/>
    <x v="36"/>
    <x v="721"/>
  </r>
  <r>
    <x v="536"/>
    <x v="29"/>
    <x v="7"/>
  </r>
  <r>
    <x v="536"/>
    <x v="25"/>
    <x v="1267"/>
  </r>
  <r>
    <x v="537"/>
    <x v="51"/>
    <x v="1268"/>
  </r>
  <r>
    <x v="537"/>
    <x v="54"/>
    <x v="1269"/>
  </r>
  <r>
    <x v="538"/>
    <x v="54"/>
    <x v="1270"/>
  </r>
  <r>
    <x v="539"/>
    <x v="54"/>
    <x v="1271"/>
  </r>
  <r>
    <x v="539"/>
    <x v="54"/>
    <x v="1272"/>
  </r>
  <r>
    <x v="539"/>
    <x v="54"/>
    <x v="1271"/>
  </r>
  <r>
    <x v="540"/>
    <x v="52"/>
    <x v="1273"/>
  </r>
  <r>
    <x v="540"/>
    <x v="51"/>
    <x v="1274"/>
  </r>
  <r>
    <x v="540"/>
    <x v="40"/>
    <x v="1275"/>
  </r>
  <r>
    <x v="540"/>
    <x v="54"/>
    <x v="1276"/>
  </r>
  <r>
    <x v="541"/>
    <x v="52"/>
    <x v="1277"/>
  </r>
  <r>
    <x v="541"/>
    <x v="10"/>
    <x v="1278"/>
  </r>
  <r>
    <x v="541"/>
    <x v="65"/>
    <x v="1279"/>
  </r>
  <r>
    <x v="541"/>
    <x v="65"/>
    <x v="1280"/>
  </r>
  <r>
    <x v="541"/>
    <x v="40"/>
    <x v="1281"/>
  </r>
  <r>
    <x v="541"/>
    <x v="54"/>
    <x v="1282"/>
  </r>
  <r>
    <x v="542"/>
    <x v="52"/>
    <x v="1070"/>
  </r>
  <r>
    <x v="542"/>
    <x v="24"/>
    <x v="1283"/>
  </r>
  <r>
    <x v="542"/>
    <x v="10"/>
    <x v="1284"/>
  </r>
  <r>
    <x v="543"/>
    <x v="65"/>
    <x v="1285"/>
  </r>
  <r>
    <x v="543"/>
    <x v="65"/>
    <x v="1286"/>
  </r>
  <r>
    <x v="543"/>
    <x v="25"/>
    <x v="1287"/>
  </r>
  <r>
    <x v="544"/>
    <x v="10"/>
    <x v="549"/>
  </r>
  <r>
    <x v="544"/>
    <x v="24"/>
    <x v="1288"/>
  </r>
  <r>
    <x v="544"/>
    <x v="10"/>
    <x v="1283"/>
  </r>
  <r>
    <x v="544"/>
    <x v="10"/>
    <x v="1289"/>
  </r>
  <r>
    <x v="544"/>
    <x v="10"/>
    <x v="1290"/>
  </r>
  <r>
    <x v="544"/>
    <x v="1"/>
    <x v="1291"/>
  </r>
  <r>
    <x v="544"/>
    <x v="54"/>
    <x v="1292"/>
  </r>
  <r>
    <x v="545"/>
    <x v="24"/>
    <x v="1156"/>
  </r>
  <r>
    <x v="545"/>
    <x v="1"/>
    <x v="1293"/>
  </r>
  <r>
    <x v="545"/>
    <x v="29"/>
    <x v="7"/>
  </r>
  <r>
    <x v="545"/>
    <x v="65"/>
    <x v="1294"/>
  </r>
  <r>
    <x v="545"/>
    <x v="25"/>
    <x v="1295"/>
  </r>
  <r>
    <x v="546"/>
    <x v="10"/>
    <x v="1296"/>
  </r>
  <r>
    <x v="546"/>
    <x v="10"/>
    <x v="1297"/>
  </r>
  <r>
    <x v="546"/>
    <x v="1"/>
    <x v="1298"/>
  </r>
  <r>
    <x v="546"/>
    <x v="65"/>
    <x v="1299"/>
  </r>
  <r>
    <x v="546"/>
    <x v="66"/>
    <x v="1300"/>
  </r>
  <r>
    <x v="547"/>
    <x v="1"/>
    <x v="1301"/>
  </r>
  <r>
    <x v="547"/>
    <x v="60"/>
    <x v="1302"/>
  </r>
  <r>
    <x v="547"/>
    <x v="8"/>
    <x v="1303"/>
  </r>
  <r>
    <x v="547"/>
    <x v="60"/>
    <x v="1304"/>
  </r>
  <r>
    <x v="547"/>
    <x v="51"/>
    <x v="1305"/>
  </r>
  <r>
    <x v="548"/>
    <x v="1"/>
    <x v="1306"/>
  </r>
  <r>
    <x v="548"/>
    <x v="51"/>
    <x v="1307"/>
  </r>
  <r>
    <x v="548"/>
    <x v="54"/>
    <x v="1308"/>
  </r>
  <r>
    <x v="548"/>
    <x v="51"/>
    <x v="1309"/>
  </r>
  <r>
    <x v="548"/>
    <x v="65"/>
    <x v="1310"/>
  </r>
  <r>
    <x v="549"/>
    <x v="1"/>
    <x v="1311"/>
  </r>
  <r>
    <x v="549"/>
    <x v="65"/>
    <x v="1312"/>
  </r>
  <r>
    <x v="549"/>
    <x v="60"/>
    <x v="1313"/>
  </r>
  <r>
    <x v="550"/>
    <x v="1"/>
    <x v="1314"/>
  </r>
  <r>
    <x v="550"/>
    <x v="66"/>
    <x v="1315"/>
  </r>
  <r>
    <x v="550"/>
    <x v="54"/>
    <x v="1316"/>
  </r>
  <r>
    <x v="550"/>
    <x v="31"/>
    <x v="1317"/>
  </r>
  <r>
    <x v="551"/>
    <x v="24"/>
    <x v="1318"/>
  </r>
  <r>
    <x v="551"/>
    <x v="24"/>
    <x v="1319"/>
  </r>
  <r>
    <x v="551"/>
    <x v="10"/>
    <x v="1320"/>
  </r>
  <r>
    <x v="551"/>
    <x v="10"/>
    <x v="1321"/>
  </r>
  <r>
    <x v="551"/>
    <x v="1"/>
    <x v="1322"/>
  </r>
  <r>
    <x v="551"/>
    <x v="31"/>
    <x v="1323"/>
  </r>
  <r>
    <x v="551"/>
    <x v="65"/>
    <x v="1324"/>
  </r>
  <r>
    <x v="551"/>
    <x v="65"/>
    <x v="1325"/>
  </r>
  <r>
    <x v="552"/>
    <x v="51"/>
    <x v="1326"/>
  </r>
  <r>
    <x v="552"/>
    <x v="24"/>
    <x v="1327"/>
  </r>
  <r>
    <x v="552"/>
    <x v="10"/>
    <x v="1328"/>
  </r>
  <r>
    <x v="552"/>
    <x v="10"/>
    <x v="1329"/>
  </r>
  <r>
    <x v="552"/>
    <x v="1"/>
    <x v="1330"/>
  </r>
  <r>
    <x v="552"/>
    <x v="54"/>
    <x v="1331"/>
  </r>
  <r>
    <x v="552"/>
    <x v="65"/>
    <x v="1332"/>
  </r>
  <r>
    <x v="552"/>
    <x v="8"/>
    <x v="1333"/>
  </r>
  <r>
    <x v="553"/>
    <x v="1"/>
    <x v="1334"/>
  </r>
  <r>
    <x v="553"/>
    <x v="54"/>
    <x v="1335"/>
  </r>
  <r>
    <x v="553"/>
    <x v="60"/>
    <x v="1336"/>
  </r>
  <r>
    <x v="554"/>
    <x v="10"/>
    <x v="1337"/>
  </r>
  <r>
    <x v="554"/>
    <x v="1"/>
    <x v="1338"/>
  </r>
  <r>
    <x v="554"/>
    <x v="25"/>
    <x v="1339"/>
  </r>
  <r>
    <x v="554"/>
    <x v="25"/>
    <x v="1340"/>
  </r>
  <r>
    <x v="555"/>
    <x v="67"/>
    <x v="1341"/>
  </r>
  <r>
    <x v="555"/>
    <x v="10"/>
    <x v="1342"/>
  </r>
  <r>
    <x v="555"/>
    <x v="29"/>
    <x v="7"/>
  </r>
  <r>
    <x v="555"/>
    <x v="29"/>
    <x v="7"/>
  </r>
  <r>
    <x v="555"/>
    <x v="25"/>
    <x v="1343"/>
  </r>
  <r>
    <x v="556"/>
    <x v="1"/>
    <x v="1344"/>
  </r>
  <r>
    <x v="556"/>
    <x v="25"/>
    <x v="1345"/>
  </r>
  <r>
    <x v="557"/>
    <x v="40"/>
    <x v="1346"/>
  </r>
  <r>
    <x v="557"/>
    <x v="1"/>
    <x v="1347"/>
  </r>
  <r>
    <x v="557"/>
    <x v="8"/>
    <x v="1348"/>
  </r>
  <r>
    <x v="558"/>
    <x v="1"/>
    <x v="1349"/>
  </r>
  <r>
    <x v="558"/>
    <x v="29"/>
    <x v="7"/>
  </r>
  <r>
    <x v="558"/>
    <x v="54"/>
    <x v="1350"/>
  </r>
  <r>
    <x v="558"/>
    <x v="25"/>
    <x v="1351"/>
  </r>
  <r>
    <x v="559"/>
    <x v="40"/>
    <x v="1352"/>
  </r>
  <r>
    <x v="559"/>
    <x v="1"/>
    <x v="1353"/>
  </r>
  <r>
    <x v="560"/>
    <x v="1"/>
    <x v="1354"/>
  </r>
  <r>
    <x v="560"/>
    <x v="8"/>
    <x v="1355"/>
  </r>
  <r>
    <x v="561"/>
    <x v="25"/>
    <x v="1356"/>
  </r>
  <r>
    <x v="561"/>
    <x v="1"/>
    <x v="1357"/>
  </r>
  <r>
    <x v="561"/>
    <x v="25"/>
    <x v="1358"/>
  </r>
  <r>
    <x v="562"/>
    <x v="33"/>
    <x v="7"/>
  </r>
  <r>
    <x v="562"/>
    <x v="33"/>
    <x v="7"/>
  </r>
  <r>
    <x v="563"/>
    <x v="51"/>
    <x v="1359"/>
  </r>
  <r>
    <x v="563"/>
    <x v="10"/>
    <x v="1341"/>
  </r>
  <r>
    <x v="563"/>
    <x v="10"/>
    <x v="1360"/>
  </r>
  <r>
    <x v="563"/>
    <x v="29"/>
    <x v="7"/>
  </r>
  <r>
    <x v="563"/>
    <x v="25"/>
    <x v="1361"/>
  </r>
  <r>
    <x v="564"/>
    <x v="10"/>
    <x v="1362"/>
  </r>
  <r>
    <x v="564"/>
    <x v="10"/>
    <x v="1363"/>
  </r>
  <r>
    <x v="564"/>
    <x v="1"/>
    <x v="1364"/>
  </r>
  <r>
    <x v="565"/>
    <x v="1"/>
    <x v="1365"/>
  </r>
  <r>
    <x v="566"/>
    <x v="1"/>
    <x v="1366"/>
  </r>
  <r>
    <x v="566"/>
    <x v="54"/>
    <x v="1367"/>
  </r>
  <r>
    <x v="567"/>
    <x v="1"/>
    <x v="1368"/>
  </r>
  <r>
    <x v="567"/>
    <x v="25"/>
    <x v="1369"/>
  </r>
  <r>
    <x v="568"/>
    <x v="10"/>
    <x v="1370"/>
  </r>
  <r>
    <x v="568"/>
    <x v="10"/>
    <x v="1371"/>
  </r>
  <r>
    <x v="568"/>
    <x v="1"/>
    <x v="1372"/>
  </r>
  <r>
    <x v="568"/>
    <x v="29"/>
    <x v="7"/>
  </r>
  <r>
    <x v="568"/>
    <x v="25"/>
    <x v="1373"/>
  </r>
  <r>
    <x v="568"/>
    <x v="68"/>
    <x v="1374"/>
  </r>
  <r>
    <x v="568"/>
    <x v="68"/>
    <x v="1375"/>
  </r>
  <r>
    <x v="568"/>
    <x v="68"/>
    <x v="1375"/>
  </r>
  <r>
    <x v="568"/>
    <x v="25"/>
    <x v="1376"/>
  </r>
  <r>
    <x v="569"/>
    <x v="10"/>
    <x v="167"/>
  </r>
  <r>
    <x v="569"/>
    <x v="10"/>
    <x v="1377"/>
  </r>
  <r>
    <x v="569"/>
    <x v="29"/>
    <x v="7"/>
  </r>
  <r>
    <x v="569"/>
    <x v="25"/>
    <x v="1376"/>
  </r>
  <r>
    <x v="570"/>
    <x v="25"/>
    <x v="1378"/>
  </r>
  <r>
    <x v="570"/>
    <x v="1"/>
    <x v="1379"/>
  </r>
  <r>
    <x v="570"/>
    <x v="68"/>
    <x v="1380"/>
  </r>
  <r>
    <x v="570"/>
    <x v="68"/>
    <x v="1381"/>
  </r>
  <r>
    <x v="570"/>
    <x v="68"/>
    <x v="1382"/>
  </r>
  <r>
    <x v="571"/>
    <x v="25"/>
    <x v="1383"/>
  </r>
  <r>
    <x v="571"/>
    <x v="52"/>
    <x v="1384"/>
  </r>
  <r>
    <x v="572"/>
    <x v="1"/>
    <x v="1385"/>
  </r>
  <r>
    <x v="572"/>
    <x v="65"/>
    <x v="1386"/>
  </r>
  <r>
    <x v="573"/>
    <x v="24"/>
    <x v="1387"/>
  </r>
  <r>
    <x v="573"/>
    <x v="10"/>
    <x v="1388"/>
  </r>
  <r>
    <x v="573"/>
    <x v="1"/>
    <x v="1389"/>
  </r>
  <r>
    <x v="573"/>
    <x v="65"/>
    <x v="1390"/>
  </r>
  <r>
    <x v="574"/>
    <x v="1"/>
    <x v="1391"/>
  </r>
  <r>
    <x v="574"/>
    <x v="54"/>
    <x v="1392"/>
  </r>
  <r>
    <x v="575"/>
    <x v="24"/>
    <x v="1039"/>
  </r>
  <r>
    <x v="575"/>
    <x v="10"/>
    <x v="1393"/>
  </r>
  <r>
    <x v="575"/>
    <x v="10"/>
    <x v="1394"/>
  </r>
  <r>
    <x v="575"/>
    <x v="10"/>
    <x v="1395"/>
  </r>
  <r>
    <x v="575"/>
    <x v="1"/>
    <x v="1396"/>
  </r>
  <r>
    <x v="575"/>
    <x v="58"/>
    <x v="1397"/>
  </r>
  <r>
    <x v="576"/>
    <x v="1"/>
    <x v="1398"/>
  </r>
  <r>
    <x v="576"/>
    <x v="8"/>
    <x v="1399"/>
  </r>
  <r>
    <x v="577"/>
    <x v="1"/>
    <x v="1400"/>
  </r>
  <r>
    <x v="577"/>
    <x v="8"/>
    <x v="1401"/>
  </r>
  <r>
    <x v="578"/>
    <x v="1"/>
    <x v="1402"/>
  </r>
  <r>
    <x v="578"/>
    <x v="58"/>
    <x v="1403"/>
  </r>
  <r>
    <x v="578"/>
    <x v="54"/>
    <x v="1404"/>
  </r>
  <r>
    <x v="578"/>
    <x v="65"/>
    <x v="1405"/>
  </r>
  <r>
    <x v="578"/>
    <x v="69"/>
    <x v="1406"/>
  </r>
  <r>
    <x v="579"/>
    <x v="1"/>
    <x v="1407"/>
  </r>
  <r>
    <x v="579"/>
    <x v="69"/>
    <x v="1408"/>
  </r>
  <r>
    <x v="580"/>
    <x v="1"/>
    <x v="28"/>
  </r>
  <r>
    <x v="581"/>
    <x v="1"/>
    <x v="1409"/>
  </r>
  <r>
    <x v="582"/>
    <x v="1"/>
    <x v="1410"/>
  </r>
  <r>
    <x v="582"/>
    <x v="65"/>
    <x v="1411"/>
  </r>
  <r>
    <x v="582"/>
    <x v="69"/>
    <x v="1412"/>
  </r>
  <r>
    <x v="583"/>
    <x v="1"/>
    <x v="1413"/>
  </r>
  <r>
    <x v="583"/>
    <x v="69"/>
    <x v="1414"/>
  </r>
  <r>
    <x v="584"/>
    <x v="1"/>
    <x v="28"/>
  </r>
  <r>
    <x v="585"/>
    <x v="1"/>
    <x v="1415"/>
  </r>
  <r>
    <x v="586"/>
    <x v="1"/>
    <x v="1409"/>
  </r>
  <r>
    <x v="587"/>
    <x v="1"/>
    <x v="28"/>
  </r>
  <r>
    <x v="588"/>
    <x v="1"/>
    <x v="28"/>
  </r>
  <r>
    <x v="589"/>
    <x v="1"/>
    <x v="28"/>
  </r>
  <r>
    <x v="590"/>
    <x v="1"/>
    <x v="28"/>
  </r>
  <r>
    <x v="591"/>
    <x v="52"/>
    <x v="1416"/>
  </r>
  <r>
    <x v="591"/>
    <x v="1"/>
    <x v="1409"/>
  </r>
  <r>
    <x v="592"/>
    <x v="52"/>
    <x v="1417"/>
  </r>
  <r>
    <x v="592"/>
    <x v="1"/>
    <x v="1418"/>
  </r>
  <r>
    <x v="592"/>
    <x v="8"/>
    <x v="1355"/>
  </r>
  <r>
    <x v="593"/>
    <x v="52"/>
    <x v="1419"/>
  </r>
  <r>
    <x v="593"/>
    <x v="67"/>
    <x v="1420"/>
  </r>
  <r>
    <x v="593"/>
    <x v="1"/>
    <x v="1421"/>
  </r>
  <r>
    <x v="594"/>
    <x v="52"/>
    <x v="1422"/>
  </r>
  <r>
    <x v="594"/>
    <x v="67"/>
    <x v="1423"/>
  </r>
  <r>
    <x v="594"/>
    <x v="1"/>
    <x v="1424"/>
  </r>
  <r>
    <x v="594"/>
    <x v="60"/>
    <x v="1425"/>
  </r>
  <r>
    <x v="594"/>
    <x v="60"/>
    <x v="1426"/>
  </r>
  <r>
    <x v="595"/>
    <x v="60"/>
    <x v="1427"/>
  </r>
  <r>
    <x v="595"/>
    <x v="52"/>
    <x v="1428"/>
  </r>
  <r>
    <x v="595"/>
    <x v="1"/>
    <x v="1429"/>
  </r>
  <r>
    <x v="595"/>
    <x v="8"/>
    <x v="1430"/>
  </r>
  <r>
    <x v="596"/>
    <x v="52"/>
    <x v="1431"/>
  </r>
  <r>
    <x v="596"/>
    <x v="60"/>
    <x v="1432"/>
  </r>
  <r>
    <x v="596"/>
    <x v="60"/>
    <x v="1428"/>
  </r>
  <r>
    <x v="597"/>
    <x v="52"/>
    <x v="1433"/>
  </r>
  <r>
    <x v="597"/>
    <x v="60"/>
    <x v="1434"/>
  </r>
  <r>
    <x v="598"/>
    <x v="1"/>
    <x v="1435"/>
  </r>
  <r>
    <x v="598"/>
    <x v="8"/>
    <x v="1401"/>
  </r>
  <r>
    <x v="599"/>
    <x v="8"/>
    <x v="1436"/>
  </r>
  <r>
    <x v="600"/>
    <x v="8"/>
    <x v="1437"/>
  </r>
  <r>
    <x v="601"/>
    <x v="1"/>
    <x v="1438"/>
  </r>
  <r>
    <x v="601"/>
    <x v="66"/>
    <x v="1439"/>
  </r>
  <r>
    <x v="602"/>
    <x v="1"/>
    <x v="1440"/>
  </r>
  <r>
    <x v="603"/>
    <x v="1"/>
    <x v="1441"/>
  </r>
  <r>
    <x v="604"/>
    <x v="10"/>
    <x v="1442"/>
  </r>
  <r>
    <x v="604"/>
    <x v="10"/>
    <x v="1443"/>
  </r>
  <r>
    <x v="605"/>
    <x v="1"/>
    <x v="1444"/>
  </r>
  <r>
    <x v="606"/>
    <x v="1"/>
    <x v="1445"/>
  </r>
  <r>
    <x v="606"/>
    <x v="8"/>
    <x v="1437"/>
  </r>
  <r>
    <x v="607"/>
    <x v="1"/>
    <x v="1446"/>
  </r>
  <r>
    <x v="607"/>
    <x v="70"/>
    <x v="1447"/>
  </r>
  <r>
    <x v="608"/>
    <x v="1"/>
    <x v="1448"/>
  </r>
  <r>
    <x v="608"/>
    <x v="70"/>
    <x v="1449"/>
  </r>
  <r>
    <x v="608"/>
    <x v="70"/>
    <x v="1450"/>
  </r>
  <r>
    <x v="608"/>
    <x v="70"/>
    <x v="1451"/>
  </r>
  <r>
    <x v="608"/>
    <x v="65"/>
    <x v="1452"/>
  </r>
  <r>
    <x v="609"/>
    <x v="1"/>
    <x v="1453"/>
  </r>
  <r>
    <x v="609"/>
    <x v="65"/>
    <x v="1454"/>
  </r>
  <r>
    <x v="610"/>
    <x v="1"/>
    <x v="1455"/>
  </r>
  <r>
    <x v="610"/>
    <x v="70"/>
    <x v="1456"/>
  </r>
  <r>
    <x v="611"/>
    <x v="52"/>
    <x v="1457"/>
  </r>
  <r>
    <x v="611"/>
    <x v="1"/>
    <x v="1458"/>
  </r>
  <r>
    <x v="611"/>
    <x v="65"/>
    <x v="1459"/>
  </r>
  <r>
    <x v="612"/>
    <x v="71"/>
    <x v="419"/>
  </r>
  <r>
    <x v="612"/>
    <x v="1"/>
    <x v="1460"/>
  </r>
  <r>
    <x v="613"/>
    <x v="38"/>
    <x v="1461"/>
  </r>
  <r>
    <x v="613"/>
    <x v="10"/>
    <x v="1462"/>
  </r>
  <r>
    <x v="613"/>
    <x v="1"/>
    <x v="1463"/>
  </r>
  <r>
    <x v="613"/>
    <x v="8"/>
    <x v="1464"/>
  </r>
  <r>
    <x v="614"/>
    <x v="71"/>
    <x v="1465"/>
  </r>
  <r>
    <x v="615"/>
    <x v="1"/>
    <x v="1466"/>
  </r>
  <r>
    <x v="616"/>
    <x v="52"/>
    <x v="1467"/>
  </r>
  <r>
    <x v="617"/>
    <x v="38"/>
    <x v="1468"/>
  </r>
  <r>
    <x v="617"/>
    <x v="10"/>
    <x v="1469"/>
  </r>
  <r>
    <x v="617"/>
    <x v="10"/>
    <x v="1470"/>
  </r>
  <r>
    <x v="617"/>
    <x v="10"/>
    <x v="1471"/>
  </r>
  <r>
    <x v="618"/>
    <x v="1"/>
    <x v="1472"/>
  </r>
  <r>
    <x v="618"/>
    <x v="65"/>
    <x v="1473"/>
  </r>
  <r>
    <x v="619"/>
    <x v="1"/>
    <x v="1474"/>
  </r>
  <r>
    <x v="619"/>
    <x v="65"/>
    <x v="1475"/>
  </r>
  <r>
    <x v="620"/>
    <x v="1"/>
    <x v="1476"/>
  </r>
  <r>
    <x v="620"/>
    <x v="8"/>
    <x v="1477"/>
  </r>
  <r>
    <x v="621"/>
    <x v="24"/>
    <x v="1478"/>
  </r>
  <r>
    <x v="621"/>
    <x v="24"/>
    <x v="1479"/>
  </r>
  <r>
    <x v="621"/>
    <x v="10"/>
    <x v="1480"/>
  </r>
  <r>
    <x v="621"/>
    <x v="10"/>
    <x v="1481"/>
  </r>
  <r>
    <x v="621"/>
    <x v="8"/>
    <x v="1482"/>
  </r>
  <r>
    <x v="621"/>
    <x v="8"/>
    <x v="1483"/>
  </r>
  <r>
    <x v="621"/>
    <x v="8"/>
    <x v="1484"/>
  </r>
  <r>
    <x v="621"/>
    <x v="8"/>
    <x v="1485"/>
  </r>
  <r>
    <x v="622"/>
    <x v="10"/>
    <x v="428"/>
  </r>
  <r>
    <x v="622"/>
    <x v="8"/>
    <x v="1486"/>
  </r>
  <r>
    <x v="622"/>
    <x v="10"/>
    <x v="1487"/>
  </r>
  <r>
    <x v="622"/>
    <x v="10"/>
    <x v="1488"/>
  </r>
  <r>
    <x v="623"/>
    <x v="60"/>
    <x v="1489"/>
  </r>
  <r>
    <x v="624"/>
    <x v="60"/>
    <x v="1490"/>
  </r>
  <r>
    <x v="624"/>
    <x v="52"/>
    <x v="1491"/>
  </r>
  <r>
    <x v="624"/>
    <x v="10"/>
    <x v="1492"/>
  </r>
  <r>
    <x v="624"/>
    <x v="10"/>
    <x v="1493"/>
  </r>
  <r>
    <x v="625"/>
    <x v="8"/>
    <x v="1494"/>
  </r>
  <r>
    <x v="626"/>
    <x v="24"/>
    <x v="411"/>
  </r>
  <r>
    <x v="627"/>
    <x v="10"/>
    <x v="1495"/>
  </r>
  <r>
    <x v="627"/>
    <x v="10"/>
    <x v="1496"/>
  </r>
  <r>
    <x v="627"/>
    <x v="1"/>
    <x v="1497"/>
  </r>
  <r>
    <x v="627"/>
    <x v="31"/>
    <x v="1498"/>
  </r>
  <r>
    <x v="628"/>
    <x v="1"/>
    <x v="1499"/>
  </r>
  <r>
    <x v="628"/>
    <x v="31"/>
    <x v="1500"/>
  </r>
  <r>
    <x v="628"/>
    <x v="31"/>
    <x v="1501"/>
  </r>
  <r>
    <x v="629"/>
    <x v="10"/>
    <x v="1502"/>
  </r>
  <r>
    <x v="629"/>
    <x v="10"/>
    <x v="1503"/>
  </r>
  <r>
    <x v="629"/>
    <x v="1"/>
    <x v="1504"/>
  </r>
  <r>
    <x v="629"/>
    <x v="31"/>
    <x v="1505"/>
  </r>
  <r>
    <x v="630"/>
    <x v="1"/>
    <x v="1506"/>
  </r>
  <r>
    <x v="631"/>
    <x v="1"/>
    <x v="1507"/>
  </r>
  <r>
    <x v="631"/>
    <x v="31"/>
    <x v="1508"/>
  </r>
  <r>
    <x v="632"/>
    <x v="1"/>
    <x v="1509"/>
  </r>
  <r>
    <x v="632"/>
    <x v="31"/>
    <x v="1510"/>
  </r>
  <r>
    <x v="633"/>
    <x v="1"/>
    <x v="1511"/>
  </r>
  <r>
    <x v="633"/>
    <x v="8"/>
    <x v="1512"/>
  </r>
  <r>
    <x v="634"/>
    <x v="52"/>
    <x v="1513"/>
  </r>
  <r>
    <x v="634"/>
    <x v="24"/>
    <x v="1514"/>
  </r>
  <r>
    <x v="634"/>
    <x v="60"/>
    <x v="1515"/>
  </r>
  <r>
    <x v="634"/>
    <x v="10"/>
    <x v="1516"/>
  </r>
  <r>
    <x v="634"/>
    <x v="10"/>
    <x v="1491"/>
  </r>
  <r>
    <x v="634"/>
    <x v="10"/>
    <x v="1517"/>
  </r>
  <r>
    <x v="635"/>
    <x v="52"/>
    <x v="1518"/>
  </r>
  <r>
    <x v="636"/>
    <x v="36"/>
    <x v="1519"/>
  </r>
  <r>
    <x v="637"/>
    <x v="1"/>
    <x v="1520"/>
  </r>
  <r>
    <x v="638"/>
    <x v="60"/>
    <x v="1521"/>
  </r>
  <r>
    <x v="638"/>
    <x v="60"/>
    <x v="1522"/>
  </r>
  <r>
    <x v="638"/>
    <x v="10"/>
    <x v="1523"/>
  </r>
  <r>
    <x v="638"/>
    <x v="10"/>
    <x v="1490"/>
  </r>
  <r>
    <x v="638"/>
    <x v="10"/>
    <x v="1524"/>
  </r>
  <r>
    <x v="638"/>
    <x v="10"/>
    <x v="1525"/>
  </r>
  <r>
    <x v="639"/>
    <x v="60"/>
    <x v="1526"/>
  </r>
  <r>
    <x v="639"/>
    <x v="10"/>
    <x v="1527"/>
  </r>
  <r>
    <x v="640"/>
    <x v="8"/>
    <x v="1528"/>
  </r>
  <r>
    <x v="640"/>
    <x v="1"/>
    <x v="1529"/>
  </r>
  <r>
    <x v="640"/>
    <x v="8"/>
    <x v="1530"/>
  </r>
  <r>
    <x v="640"/>
    <x v="8"/>
    <x v="1531"/>
  </r>
  <r>
    <x v="640"/>
    <x v="31"/>
    <x v="1532"/>
  </r>
  <r>
    <x v="641"/>
    <x v="10"/>
    <x v="1533"/>
  </r>
  <r>
    <x v="641"/>
    <x v="10"/>
    <x v="1534"/>
  </r>
  <r>
    <x v="641"/>
    <x v="1"/>
    <x v="1535"/>
  </r>
  <r>
    <x v="641"/>
    <x v="72"/>
    <x v="1536"/>
  </r>
  <r>
    <x v="642"/>
    <x v="24"/>
    <x v="1537"/>
  </r>
  <r>
    <x v="642"/>
    <x v="10"/>
    <x v="1538"/>
  </r>
  <r>
    <x v="642"/>
    <x v="10"/>
    <x v="1539"/>
  </r>
  <r>
    <x v="642"/>
    <x v="31"/>
    <x v="1540"/>
  </r>
  <r>
    <x v="642"/>
    <x v="31"/>
    <x v="1541"/>
  </r>
  <r>
    <x v="643"/>
    <x v="24"/>
    <x v="1542"/>
  </r>
  <r>
    <x v="643"/>
    <x v="51"/>
    <x v="1543"/>
  </r>
  <r>
    <x v="643"/>
    <x v="1"/>
    <x v="1544"/>
  </r>
  <r>
    <x v="643"/>
    <x v="72"/>
    <x v="1545"/>
  </r>
  <r>
    <x v="643"/>
    <x v="31"/>
    <x v="1546"/>
  </r>
  <r>
    <x v="644"/>
    <x v="1"/>
    <x v="1547"/>
  </r>
  <r>
    <x v="644"/>
    <x v="31"/>
    <x v="1548"/>
  </r>
  <r>
    <x v="645"/>
    <x v="24"/>
    <x v="1549"/>
  </r>
  <r>
    <x v="645"/>
    <x v="24"/>
    <x v="1550"/>
  </r>
  <r>
    <x v="645"/>
    <x v="1"/>
    <x v="1551"/>
  </r>
  <r>
    <x v="645"/>
    <x v="65"/>
    <x v="1552"/>
  </r>
  <r>
    <x v="646"/>
    <x v="51"/>
    <x v="1553"/>
  </r>
  <r>
    <x v="646"/>
    <x v="8"/>
    <x v="1554"/>
  </r>
  <r>
    <x v="646"/>
    <x v="1"/>
    <x v="1555"/>
  </r>
  <r>
    <x v="646"/>
    <x v="65"/>
    <x v="1556"/>
  </r>
  <r>
    <x v="647"/>
    <x v="1"/>
    <x v="1557"/>
  </r>
  <r>
    <x v="647"/>
    <x v="31"/>
    <x v="1558"/>
  </r>
  <r>
    <x v="648"/>
    <x v="24"/>
    <x v="1559"/>
  </r>
  <r>
    <x v="648"/>
    <x v="10"/>
    <x v="1560"/>
  </r>
  <r>
    <x v="648"/>
    <x v="1"/>
    <x v="1561"/>
  </r>
  <r>
    <x v="648"/>
    <x v="31"/>
    <x v="1562"/>
  </r>
  <r>
    <x v="649"/>
    <x v="24"/>
    <x v="1563"/>
  </r>
  <r>
    <x v="649"/>
    <x v="10"/>
    <x v="1564"/>
  </r>
  <r>
    <x v="649"/>
    <x v="10"/>
    <x v="1565"/>
  </r>
  <r>
    <x v="649"/>
    <x v="10"/>
    <x v="1559"/>
  </r>
  <r>
    <x v="649"/>
    <x v="10"/>
    <x v="1566"/>
  </r>
  <r>
    <x v="649"/>
    <x v="31"/>
    <x v="1567"/>
  </r>
  <r>
    <x v="649"/>
    <x v="60"/>
    <x v="1568"/>
  </r>
  <r>
    <x v="649"/>
    <x v="60"/>
    <x v="1569"/>
  </r>
  <r>
    <x v="649"/>
    <x v="31"/>
    <x v="1570"/>
  </r>
  <r>
    <x v="650"/>
    <x v="1"/>
    <x v="1571"/>
  </r>
  <r>
    <x v="650"/>
    <x v="31"/>
    <x v="1572"/>
  </r>
  <r>
    <x v="650"/>
    <x v="36"/>
    <x v="1573"/>
  </r>
  <r>
    <x v="650"/>
    <x v="36"/>
    <x v="1574"/>
  </r>
  <r>
    <x v="650"/>
    <x v="36"/>
    <x v="1575"/>
  </r>
  <r>
    <x v="650"/>
    <x v="31"/>
    <x v="645"/>
  </r>
  <r>
    <x v="651"/>
    <x v="1"/>
    <x v="1576"/>
  </r>
  <r>
    <x v="651"/>
    <x v="31"/>
    <x v="1577"/>
  </r>
  <r>
    <x v="651"/>
    <x v="72"/>
    <x v="1578"/>
  </r>
  <r>
    <x v="651"/>
    <x v="73"/>
    <x v="1579"/>
  </r>
  <r>
    <x v="652"/>
    <x v="1"/>
    <x v="1580"/>
  </r>
  <r>
    <x v="652"/>
    <x v="36"/>
    <x v="1581"/>
  </r>
  <r>
    <x v="653"/>
    <x v="24"/>
    <x v="1582"/>
  </r>
  <r>
    <x v="653"/>
    <x v="74"/>
    <x v="1583"/>
  </r>
  <r>
    <x v="653"/>
    <x v="1"/>
    <x v="1584"/>
  </r>
  <r>
    <x v="653"/>
    <x v="73"/>
    <x v="1585"/>
  </r>
  <r>
    <x v="653"/>
    <x v="72"/>
    <x v="1586"/>
  </r>
  <r>
    <x v="653"/>
    <x v="31"/>
    <x v="1587"/>
  </r>
  <r>
    <x v="653"/>
    <x v="72"/>
    <x v="1588"/>
  </r>
  <r>
    <x v="653"/>
    <x v="73"/>
    <x v="1589"/>
  </r>
  <r>
    <x v="654"/>
    <x v="74"/>
    <x v="1590"/>
  </r>
  <r>
    <x v="654"/>
    <x v="10"/>
    <x v="1591"/>
  </r>
  <r>
    <x v="654"/>
    <x v="10"/>
    <x v="22"/>
  </r>
  <r>
    <x v="654"/>
    <x v="10"/>
    <x v="1592"/>
  </r>
  <r>
    <x v="654"/>
    <x v="10"/>
    <x v="1593"/>
  </r>
  <r>
    <x v="654"/>
    <x v="1"/>
    <x v="1594"/>
  </r>
  <r>
    <x v="654"/>
    <x v="73"/>
    <x v="1595"/>
  </r>
  <r>
    <x v="654"/>
    <x v="72"/>
    <x v="1596"/>
  </r>
  <r>
    <x v="654"/>
    <x v="72"/>
    <x v="1597"/>
  </r>
  <r>
    <x v="654"/>
    <x v="75"/>
    <x v="1598"/>
  </r>
  <r>
    <x v="654"/>
    <x v="73"/>
    <x v="1599"/>
  </r>
  <r>
    <x v="655"/>
    <x v="1"/>
    <x v="1600"/>
  </r>
  <r>
    <x v="655"/>
    <x v="76"/>
    <x v="1601"/>
  </r>
  <r>
    <x v="655"/>
    <x v="31"/>
    <x v="1602"/>
  </r>
  <r>
    <x v="655"/>
    <x v="72"/>
    <x v="1603"/>
  </r>
  <r>
    <x v="655"/>
    <x v="75"/>
    <x v="1604"/>
  </r>
  <r>
    <x v="655"/>
    <x v="73"/>
    <x v="1605"/>
  </r>
  <r>
    <x v="655"/>
    <x v="72"/>
    <x v="1606"/>
  </r>
  <r>
    <x v="656"/>
    <x v="1"/>
    <x v="1607"/>
  </r>
  <r>
    <x v="656"/>
    <x v="72"/>
    <x v="1608"/>
  </r>
  <r>
    <x v="656"/>
    <x v="31"/>
    <x v="1587"/>
  </r>
  <r>
    <x v="656"/>
    <x v="72"/>
    <x v="1609"/>
  </r>
  <r>
    <x v="656"/>
    <x v="76"/>
    <x v="1610"/>
  </r>
  <r>
    <x v="657"/>
    <x v="52"/>
    <x v="1611"/>
  </r>
  <r>
    <x v="657"/>
    <x v="54"/>
    <x v="1612"/>
  </r>
  <r>
    <x v="657"/>
    <x v="10"/>
    <x v="1613"/>
  </r>
  <r>
    <x v="657"/>
    <x v="10"/>
    <x v="1614"/>
  </r>
  <r>
    <x v="657"/>
    <x v="1"/>
    <x v="1615"/>
  </r>
  <r>
    <x v="657"/>
    <x v="72"/>
    <x v="1616"/>
  </r>
  <r>
    <x v="657"/>
    <x v="31"/>
    <x v="1617"/>
  </r>
  <r>
    <x v="657"/>
    <x v="31"/>
    <x v="1618"/>
  </r>
  <r>
    <x v="657"/>
    <x v="72"/>
    <x v="1619"/>
  </r>
  <r>
    <x v="658"/>
    <x v="54"/>
    <x v="1620"/>
  </r>
  <r>
    <x v="658"/>
    <x v="10"/>
    <x v="1612"/>
  </r>
  <r>
    <x v="658"/>
    <x v="10"/>
    <x v="1621"/>
  </r>
  <r>
    <x v="658"/>
    <x v="1"/>
    <x v="1622"/>
  </r>
  <r>
    <x v="658"/>
    <x v="72"/>
    <x v="1623"/>
  </r>
  <r>
    <x v="659"/>
    <x v="52"/>
    <x v="1624"/>
  </r>
  <r>
    <x v="659"/>
    <x v="10"/>
    <x v="1625"/>
  </r>
  <r>
    <x v="659"/>
    <x v="10"/>
    <x v="1626"/>
  </r>
  <r>
    <x v="659"/>
    <x v="10"/>
    <x v="1611"/>
  </r>
  <r>
    <x v="659"/>
    <x v="10"/>
    <x v="1627"/>
  </r>
  <r>
    <x v="659"/>
    <x v="1"/>
    <x v="1628"/>
  </r>
  <r>
    <x v="659"/>
    <x v="72"/>
    <x v="1629"/>
  </r>
  <r>
    <x v="659"/>
    <x v="72"/>
    <x v="1630"/>
  </r>
  <r>
    <x v="659"/>
    <x v="72"/>
    <x v="1631"/>
  </r>
  <r>
    <x v="660"/>
    <x v="52"/>
    <x v="721"/>
  </r>
  <r>
    <x v="660"/>
    <x v="1"/>
    <x v="1632"/>
  </r>
  <r>
    <x v="660"/>
    <x v="72"/>
    <x v="1630"/>
  </r>
  <r>
    <x v="660"/>
    <x v="31"/>
    <x v="1633"/>
  </r>
  <r>
    <x v="660"/>
    <x v="72"/>
    <x v="1631"/>
  </r>
  <r>
    <x v="661"/>
    <x v="1"/>
    <x v="1634"/>
  </r>
  <r>
    <x v="661"/>
    <x v="31"/>
    <x v="1635"/>
  </r>
  <r>
    <x v="661"/>
    <x v="72"/>
    <x v="1636"/>
  </r>
  <r>
    <x v="661"/>
    <x v="31"/>
    <x v="1637"/>
  </r>
  <r>
    <x v="661"/>
    <x v="72"/>
    <x v="1638"/>
  </r>
  <r>
    <x v="662"/>
    <x v="1"/>
    <x v="1639"/>
  </r>
  <r>
    <x v="662"/>
    <x v="31"/>
    <x v="1640"/>
  </r>
  <r>
    <x v="662"/>
    <x v="72"/>
    <x v="1628"/>
  </r>
  <r>
    <x v="662"/>
    <x v="72"/>
    <x v="1641"/>
  </r>
  <r>
    <x v="662"/>
    <x v="72"/>
    <x v="1642"/>
  </r>
  <r>
    <x v="663"/>
    <x v="77"/>
    <x v="1643"/>
  </r>
  <r>
    <x v="663"/>
    <x v="10"/>
    <x v="1644"/>
  </r>
  <r>
    <x v="663"/>
    <x v="1"/>
    <x v="1645"/>
  </r>
  <r>
    <x v="663"/>
    <x v="72"/>
    <x v="1646"/>
  </r>
  <r>
    <x v="663"/>
    <x v="31"/>
    <x v="1647"/>
  </r>
  <r>
    <x v="663"/>
    <x v="31"/>
    <x v="1648"/>
  </r>
  <r>
    <x v="664"/>
    <x v="54"/>
    <x v="1649"/>
  </r>
  <r>
    <x v="664"/>
    <x v="77"/>
    <x v="1650"/>
  </r>
  <r>
    <x v="664"/>
    <x v="54"/>
    <x v="1651"/>
  </r>
  <r>
    <x v="664"/>
    <x v="10"/>
    <x v="1652"/>
  </r>
  <r>
    <x v="664"/>
    <x v="10"/>
    <x v="1653"/>
  </r>
  <r>
    <x v="664"/>
    <x v="10"/>
    <x v="1654"/>
  </r>
  <r>
    <x v="664"/>
    <x v="10"/>
    <x v="1655"/>
  </r>
  <r>
    <x v="664"/>
    <x v="1"/>
    <x v="1656"/>
  </r>
  <r>
    <x v="664"/>
    <x v="36"/>
    <x v="1657"/>
  </r>
  <r>
    <x v="665"/>
    <x v="10"/>
    <x v="1658"/>
  </r>
  <r>
    <x v="665"/>
    <x v="10"/>
    <x v="1659"/>
  </r>
  <r>
    <x v="666"/>
    <x v="1"/>
    <x v="1660"/>
  </r>
  <r>
    <x v="666"/>
    <x v="72"/>
    <x v="1325"/>
  </r>
  <r>
    <x v="666"/>
    <x v="8"/>
    <x v="1661"/>
  </r>
  <r>
    <x v="667"/>
    <x v="36"/>
    <x v="528"/>
  </r>
  <r>
    <x v="667"/>
    <x v="36"/>
    <x v="1662"/>
  </r>
  <r>
    <x v="667"/>
    <x v="36"/>
    <x v="1663"/>
  </r>
  <r>
    <x v="668"/>
    <x v="24"/>
    <x v="1664"/>
  </r>
  <r>
    <x v="668"/>
    <x v="10"/>
    <x v="1665"/>
  </r>
  <r>
    <x v="668"/>
    <x v="1"/>
    <x v="1666"/>
  </r>
  <r>
    <x v="668"/>
    <x v="72"/>
    <x v="1667"/>
  </r>
  <r>
    <x v="668"/>
    <x v="36"/>
    <x v="1668"/>
  </r>
  <r>
    <x v="668"/>
    <x v="72"/>
    <x v="1669"/>
  </r>
  <r>
    <x v="669"/>
    <x v="24"/>
    <x v="1670"/>
  </r>
  <r>
    <x v="669"/>
    <x v="10"/>
    <x v="1671"/>
  </r>
  <r>
    <x v="669"/>
    <x v="10"/>
    <x v="1672"/>
  </r>
  <r>
    <x v="669"/>
    <x v="10"/>
    <x v="1664"/>
  </r>
  <r>
    <x v="669"/>
    <x v="10"/>
    <x v="1673"/>
  </r>
  <r>
    <x v="670"/>
    <x v="60"/>
    <x v="1674"/>
  </r>
  <r>
    <x v="670"/>
    <x v="10"/>
    <x v="1675"/>
  </r>
  <r>
    <x v="670"/>
    <x v="10"/>
    <x v="1676"/>
  </r>
  <r>
    <x v="670"/>
    <x v="10"/>
    <x v="1621"/>
  </r>
  <r>
    <x v="670"/>
    <x v="1"/>
    <x v="1677"/>
  </r>
  <r>
    <x v="670"/>
    <x v="72"/>
    <x v="1678"/>
  </r>
  <r>
    <x v="671"/>
    <x v="60"/>
    <x v="1679"/>
  </r>
  <r>
    <x v="671"/>
    <x v="77"/>
    <x v="1643"/>
  </r>
  <r>
    <x v="671"/>
    <x v="60"/>
    <x v="1680"/>
  </r>
  <r>
    <x v="671"/>
    <x v="10"/>
    <x v="1681"/>
  </r>
  <r>
    <x v="671"/>
    <x v="10"/>
    <x v="1644"/>
  </r>
  <r>
    <x v="671"/>
    <x v="10"/>
    <x v="1682"/>
  </r>
  <r>
    <x v="671"/>
    <x v="10"/>
    <x v="1683"/>
  </r>
  <r>
    <x v="671"/>
    <x v="10"/>
    <x v="1684"/>
  </r>
  <r>
    <x v="671"/>
    <x v="31"/>
    <x v="1685"/>
  </r>
  <r>
    <x v="671"/>
    <x v="31"/>
    <x v="1686"/>
  </r>
  <r>
    <x v="672"/>
    <x v="36"/>
    <x v="1687"/>
  </r>
  <r>
    <x v="672"/>
    <x v="36"/>
    <x v="1688"/>
  </r>
  <r>
    <x v="673"/>
    <x v="1"/>
    <x v="1689"/>
  </r>
  <r>
    <x v="673"/>
    <x v="72"/>
    <x v="1690"/>
  </r>
  <r>
    <x v="674"/>
    <x v="1"/>
    <x v="1691"/>
  </r>
  <r>
    <x v="674"/>
    <x v="72"/>
    <x v="1692"/>
  </r>
  <r>
    <x v="675"/>
    <x v="60"/>
    <x v="1693"/>
  </r>
  <r>
    <x v="675"/>
    <x v="8"/>
    <x v="1694"/>
  </r>
  <r>
    <x v="675"/>
    <x v="10"/>
    <x v="1695"/>
  </r>
  <r>
    <x v="675"/>
    <x v="10"/>
    <x v="1696"/>
  </r>
  <r>
    <x v="675"/>
    <x v="10"/>
    <x v="1697"/>
  </r>
  <r>
    <x v="675"/>
    <x v="10"/>
    <x v="1698"/>
  </r>
  <r>
    <x v="675"/>
    <x v="10"/>
    <x v="1699"/>
  </r>
  <r>
    <x v="675"/>
    <x v="10"/>
    <x v="1700"/>
  </r>
  <r>
    <x v="675"/>
    <x v="10"/>
    <x v="1701"/>
  </r>
  <r>
    <x v="675"/>
    <x v="10"/>
    <x v="1702"/>
  </r>
  <r>
    <x v="675"/>
    <x v="10"/>
    <x v="1703"/>
  </r>
  <r>
    <x v="675"/>
    <x v="10"/>
    <x v="1679"/>
  </r>
  <r>
    <x v="675"/>
    <x v="10"/>
    <x v="1704"/>
  </r>
  <r>
    <x v="675"/>
    <x v="1"/>
    <x v="1705"/>
  </r>
  <r>
    <x v="675"/>
    <x v="8"/>
    <x v="1706"/>
  </r>
  <r>
    <x v="676"/>
    <x v="8"/>
    <x v="562"/>
  </r>
  <r>
    <x v="677"/>
    <x v="78"/>
    <x v="1707"/>
  </r>
  <r>
    <x v="677"/>
    <x v="10"/>
    <x v="1708"/>
  </r>
  <r>
    <x v="677"/>
    <x v="1"/>
    <x v="1709"/>
  </r>
  <r>
    <x v="677"/>
    <x v="31"/>
    <x v="1710"/>
  </r>
  <r>
    <x v="678"/>
    <x v="77"/>
    <x v="1711"/>
  </r>
  <r>
    <x v="678"/>
    <x v="10"/>
    <x v="1712"/>
  </r>
  <r>
    <x v="678"/>
    <x v="10"/>
    <x v="1713"/>
  </r>
  <r>
    <x v="678"/>
    <x v="31"/>
    <x v="1685"/>
  </r>
  <r>
    <x v="678"/>
    <x v="31"/>
    <x v="1714"/>
  </r>
  <r>
    <x v="679"/>
    <x v="10"/>
    <x v="1715"/>
  </r>
  <r>
    <x v="679"/>
    <x v="77"/>
    <x v="1716"/>
  </r>
  <r>
    <x v="679"/>
    <x v="78"/>
    <x v="1717"/>
  </r>
  <r>
    <x v="679"/>
    <x v="79"/>
    <x v="1718"/>
  </r>
  <r>
    <x v="679"/>
    <x v="10"/>
    <x v="1719"/>
  </r>
  <r>
    <x v="679"/>
    <x v="10"/>
    <x v="1720"/>
  </r>
  <r>
    <x v="679"/>
    <x v="10"/>
    <x v="1721"/>
  </r>
  <r>
    <x v="679"/>
    <x v="10"/>
    <x v="1707"/>
  </r>
  <r>
    <x v="679"/>
    <x v="10"/>
    <x v="1722"/>
  </r>
  <r>
    <x v="679"/>
    <x v="8"/>
    <x v="1542"/>
  </r>
  <r>
    <x v="679"/>
    <x v="10"/>
    <x v="1723"/>
  </r>
  <r>
    <x v="679"/>
    <x v="1"/>
    <x v="1724"/>
  </r>
  <r>
    <x v="679"/>
    <x v="31"/>
    <x v="1725"/>
  </r>
  <r>
    <x v="679"/>
    <x v="72"/>
    <x v="1726"/>
  </r>
  <r>
    <x v="680"/>
    <x v="1"/>
    <x v="1727"/>
  </r>
  <r>
    <x v="680"/>
    <x v="1"/>
    <x v="1728"/>
  </r>
  <r>
    <x v="680"/>
    <x v="72"/>
    <x v="1729"/>
  </r>
  <r>
    <x v="681"/>
    <x v="77"/>
    <x v="1730"/>
  </r>
  <r>
    <x v="681"/>
    <x v="10"/>
    <x v="1731"/>
  </r>
  <r>
    <x v="681"/>
    <x v="1"/>
    <x v="1732"/>
  </r>
  <r>
    <x v="681"/>
    <x v="8"/>
    <x v="1733"/>
  </r>
  <r>
    <x v="682"/>
    <x v="77"/>
    <x v="1734"/>
  </r>
  <r>
    <x v="682"/>
    <x v="10"/>
    <x v="1735"/>
  </r>
  <r>
    <x v="682"/>
    <x v="10"/>
    <x v="1736"/>
  </r>
  <r>
    <x v="682"/>
    <x v="10"/>
    <x v="1737"/>
  </r>
  <r>
    <x v="682"/>
    <x v="1"/>
    <x v="1738"/>
  </r>
  <r>
    <x v="682"/>
    <x v="72"/>
    <x v="1739"/>
  </r>
  <r>
    <x v="683"/>
    <x v="79"/>
    <x v="1740"/>
  </r>
  <r>
    <x v="683"/>
    <x v="1"/>
    <x v="1741"/>
  </r>
  <r>
    <x v="683"/>
    <x v="72"/>
    <x v="1742"/>
  </r>
  <r>
    <x v="684"/>
    <x v="60"/>
    <x v="1743"/>
  </r>
  <r>
    <x v="684"/>
    <x v="8"/>
    <x v="1744"/>
  </r>
  <r>
    <x v="684"/>
    <x v="10"/>
    <x v="1745"/>
  </r>
  <r>
    <x v="684"/>
    <x v="1"/>
    <x v="1746"/>
  </r>
  <r>
    <x v="684"/>
    <x v="80"/>
    <x v="77"/>
  </r>
  <r>
    <x v="685"/>
    <x v="1"/>
    <x v="1747"/>
  </r>
  <r>
    <x v="685"/>
    <x v="80"/>
    <x v="7"/>
  </r>
  <r>
    <x v="685"/>
    <x v="69"/>
    <x v="1748"/>
  </r>
  <r>
    <x v="686"/>
    <x v="60"/>
    <x v="1749"/>
  </r>
  <r>
    <x v="686"/>
    <x v="10"/>
    <x v="1750"/>
  </r>
  <r>
    <x v="686"/>
    <x v="1"/>
    <x v="1751"/>
  </r>
  <r>
    <x v="686"/>
    <x v="69"/>
    <x v="1752"/>
  </r>
  <r>
    <x v="687"/>
    <x v="60"/>
    <x v="1753"/>
  </r>
  <r>
    <x v="687"/>
    <x v="77"/>
    <x v="1754"/>
  </r>
  <r>
    <x v="687"/>
    <x v="10"/>
    <x v="1755"/>
  </r>
  <r>
    <x v="687"/>
    <x v="10"/>
    <x v="1743"/>
  </r>
  <r>
    <x v="687"/>
    <x v="10"/>
    <x v="1756"/>
  </r>
  <r>
    <x v="687"/>
    <x v="10"/>
    <x v="1757"/>
  </r>
  <r>
    <x v="687"/>
    <x v="1"/>
    <x v="1758"/>
  </r>
  <r>
    <x v="687"/>
    <x v="81"/>
    <x v="7"/>
  </r>
  <r>
    <x v="687"/>
    <x v="69"/>
    <x v="1748"/>
  </r>
  <r>
    <x v="688"/>
    <x v="1"/>
    <x v="1759"/>
  </r>
  <r>
    <x v="688"/>
    <x v="69"/>
    <x v="1760"/>
  </r>
  <r>
    <x v="689"/>
    <x v="78"/>
    <x v="1761"/>
  </r>
  <r>
    <x v="689"/>
    <x v="77"/>
    <x v="1762"/>
  </r>
  <r>
    <x v="689"/>
    <x v="82"/>
    <x v="1763"/>
  </r>
  <r>
    <x v="689"/>
    <x v="10"/>
    <x v="1764"/>
  </r>
  <r>
    <x v="689"/>
    <x v="10"/>
    <x v="1765"/>
  </r>
  <r>
    <x v="689"/>
    <x v="10"/>
    <x v="1766"/>
  </r>
  <r>
    <x v="689"/>
    <x v="10"/>
    <x v="1730"/>
  </r>
  <r>
    <x v="689"/>
    <x v="10"/>
    <x v="1754"/>
  </r>
  <r>
    <x v="689"/>
    <x v="10"/>
    <x v="1767"/>
  </r>
  <r>
    <x v="689"/>
    <x v="10"/>
    <x v="1768"/>
  </r>
  <r>
    <x v="689"/>
    <x v="10"/>
    <x v="1769"/>
  </r>
  <r>
    <x v="690"/>
    <x v="60"/>
    <x v="1770"/>
  </r>
  <r>
    <x v="690"/>
    <x v="10"/>
    <x v="1771"/>
  </r>
  <r>
    <x v="690"/>
    <x v="1"/>
    <x v="1772"/>
  </r>
  <r>
    <x v="690"/>
    <x v="31"/>
    <x v="1773"/>
  </r>
  <r>
    <x v="691"/>
    <x v="1"/>
    <x v="1774"/>
  </r>
  <r>
    <x v="691"/>
    <x v="31"/>
    <x v="1775"/>
  </r>
  <r>
    <x v="691"/>
    <x v="72"/>
    <x v="1776"/>
  </r>
  <r>
    <x v="692"/>
    <x v="1"/>
    <x v="1777"/>
  </r>
  <r>
    <x v="692"/>
    <x v="36"/>
    <x v="1778"/>
  </r>
  <r>
    <x v="693"/>
    <x v="1"/>
    <x v="1779"/>
  </r>
  <r>
    <x v="693"/>
    <x v="31"/>
    <x v="1780"/>
  </r>
  <r>
    <x v="694"/>
    <x v="10"/>
    <x v="1781"/>
  </r>
  <r>
    <x v="694"/>
    <x v="10"/>
    <x v="1782"/>
  </r>
  <r>
    <x v="694"/>
    <x v="10"/>
    <x v="1783"/>
  </r>
  <r>
    <x v="694"/>
    <x v="10"/>
    <x v="1784"/>
  </r>
  <r>
    <x v="694"/>
    <x v="10"/>
    <x v="1785"/>
  </r>
  <r>
    <x v="695"/>
    <x v="60"/>
    <x v="1786"/>
  </r>
  <r>
    <x v="695"/>
    <x v="10"/>
    <x v="1787"/>
  </r>
  <r>
    <x v="695"/>
    <x v="10"/>
    <x v="1788"/>
  </r>
  <r>
    <x v="695"/>
    <x v="10"/>
    <x v="1789"/>
  </r>
  <r>
    <x v="695"/>
    <x v="1"/>
    <x v="1790"/>
  </r>
  <r>
    <x v="695"/>
    <x v="81"/>
    <x v="1791"/>
  </r>
  <r>
    <x v="695"/>
    <x v="72"/>
    <x v="1792"/>
  </r>
  <r>
    <x v="696"/>
    <x v="60"/>
    <x v="1793"/>
  </r>
  <r>
    <x v="696"/>
    <x v="10"/>
    <x v="1794"/>
  </r>
  <r>
    <x v="697"/>
    <x v="72"/>
    <x v="1795"/>
  </r>
  <r>
    <x v="697"/>
    <x v="72"/>
    <x v="1796"/>
  </r>
  <r>
    <x v="698"/>
    <x v="8"/>
    <x v="1797"/>
  </r>
  <r>
    <x v="698"/>
    <x v="8"/>
    <x v="1798"/>
  </r>
  <r>
    <x v="698"/>
    <x v="80"/>
    <x v="7"/>
  </r>
  <r>
    <x v="698"/>
    <x v="1"/>
    <x v="1799"/>
  </r>
  <r>
    <x v="698"/>
    <x v="8"/>
    <x v="1800"/>
  </r>
  <r>
    <x v="698"/>
    <x v="77"/>
    <x v="1801"/>
  </r>
  <r>
    <x v="698"/>
    <x v="72"/>
    <x v="1802"/>
  </r>
  <r>
    <x v="698"/>
    <x v="31"/>
    <x v="1803"/>
  </r>
  <r>
    <x v="699"/>
    <x v="8"/>
    <x v="1804"/>
  </r>
  <r>
    <x v="699"/>
    <x v="78"/>
    <x v="1805"/>
  </r>
  <r>
    <x v="699"/>
    <x v="82"/>
    <x v="1806"/>
  </r>
  <r>
    <x v="699"/>
    <x v="77"/>
    <x v="1807"/>
  </r>
  <r>
    <x v="699"/>
    <x v="10"/>
    <x v="1808"/>
  </r>
  <r>
    <x v="699"/>
    <x v="10"/>
    <x v="1809"/>
  </r>
  <r>
    <x v="699"/>
    <x v="10"/>
    <x v="1810"/>
  </r>
  <r>
    <x v="699"/>
    <x v="1"/>
    <x v="1811"/>
  </r>
  <r>
    <x v="699"/>
    <x v="72"/>
    <x v="1812"/>
  </r>
  <r>
    <x v="699"/>
    <x v="77"/>
    <x v="1813"/>
  </r>
  <r>
    <x v="699"/>
    <x v="72"/>
    <x v="1814"/>
  </r>
  <r>
    <x v="699"/>
    <x v="83"/>
    <x v="1815"/>
  </r>
  <r>
    <x v="700"/>
    <x v="60"/>
    <x v="1816"/>
  </r>
  <r>
    <x v="700"/>
    <x v="60"/>
    <x v="1817"/>
  </r>
  <r>
    <x v="700"/>
    <x v="8"/>
    <x v="1818"/>
  </r>
  <r>
    <x v="700"/>
    <x v="60"/>
    <x v="1819"/>
  </r>
  <r>
    <x v="700"/>
    <x v="10"/>
    <x v="1820"/>
  </r>
  <r>
    <x v="700"/>
    <x v="10"/>
    <x v="1821"/>
  </r>
  <r>
    <x v="700"/>
    <x v="10"/>
    <x v="1822"/>
  </r>
  <r>
    <x v="700"/>
    <x v="10"/>
    <x v="1823"/>
  </r>
  <r>
    <x v="700"/>
    <x v="10"/>
    <x v="1824"/>
  </r>
  <r>
    <x v="700"/>
    <x v="1"/>
    <x v="1825"/>
  </r>
  <r>
    <x v="700"/>
    <x v="31"/>
    <x v="1826"/>
  </r>
  <r>
    <x v="700"/>
    <x v="72"/>
    <x v="1827"/>
  </r>
  <r>
    <x v="700"/>
    <x v="83"/>
    <x v="1828"/>
  </r>
  <r>
    <x v="700"/>
    <x v="77"/>
    <x v="1829"/>
  </r>
  <r>
    <x v="700"/>
    <x v="72"/>
    <x v="1830"/>
  </r>
  <r>
    <x v="701"/>
    <x v="1"/>
    <x v="1831"/>
  </r>
  <r>
    <x v="701"/>
    <x v="72"/>
    <x v="1832"/>
  </r>
  <r>
    <x v="701"/>
    <x v="31"/>
    <x v="1833"/>
  </r>
  <r>
    <x v="702"/>
    <x v="1"/>
    <x v="1834"/>
  </r>
  <r>
    <x v="702"/>
    <x v="31"/>
    <x v="1835"/>
  </r>
  <r>
    <x v="702"/>
    <x v="72"/>
    <x v="1836"/>
  </r>
  <r>
    <x v="703"/>
    <x v="1"/>
    <x v="1837"/>
  </r>
  <r>
    <x v="703"/>
    <x v="72"/>
    <x v="1838"/>
  </r>
  <r>
    <x v="703"/>
    <x v="31"/>
    <x v="1839"/>
  </r>
  <r>
    <x v="703"/>
    <x v="60"/>
    <x v="1840"/>
  </r>
  <r>
    <x v="704"/>
    <x v="8"/>
    <x v="1841"/>
  </r>
  <r>
    <x v="704"/>
    <x v="60"/>
    <x v="1842"/>
  </r>
  <r>
    <x v="704"/>
    <x v="77"/>
    <x v="1843"/>
  </r>
  <r>
    <x v="704"/>
    <x v="10"/>
    <x v="1844"/>
  </r>
  <r>
    <x v="704"/>
    <x v="10"/>
    <x v="1845"/>
  </r>
  <r>
    <x v="704"/>
    <x v="10"/>
    <x v="1846"/>
  </r>
  <r>
    <x v="704"/>
    <x v="1"/>
    <x v="1847"/>
  </r>
  <r>
    <x v="704"/>
    <x v="60"/>
    <x v="1842"/>
  </r>
  <r>
    <x v="705"/>
    <x v="77"/>
    <x v="1848"/>
  </r>
  <r>
    <x v="705"/>
    <x v="10"/>
    <x v="1849"/>
  </r>
  <r>
    <x v="706"/>
    <x v="77"/>
    <x v="1850"/>
  </r>
  <r>
    <x v="706"/>
    <x v="77"/>
    <x v="1851"/>
  </r>
  <r>
    <x v="706"/>
    <x v="10"/>
    <x v="1852"/>
  </r>
  <r>
    <x v="706"/>
    <x v="10"/>
    <x v="1853"/>
  </r>
  <r>
    <x v="707"/>
    <x v="1"/>
    <x v="1854"/>
  </r>
  <r>
    <x v="707"/>
    <x v="77"/>
    <x v="1855"/>
  </r>
  <r>
    <x v="708"/>
    <x v="1"/>
    <x v="1746"/>
  </r>
  <r>
    <x v="708"/>
    <x v="84"/>
    <x v="77"/>
  </r>
  <r>
    <x v="709"/>
    <x v="10"/>
    <x v="33"/>
  </r>
  <r>
    <x v="709"/>
    <x v="1"/>
    <x v="1856"/>
  </r>
  <r>
    <x v="709"/>
    <x v="84"/>
    <x v="7"/>
  </r>
  <r>
    <x v="709"/>
    <x v="72"/>
    <x v="1857"/>
  </r>
  <r>
    <x v="709"/>
    <x v="77"/>
    <x v="1858"/>
  </r>
  <r>
    <x v="710"/>
    <x v="1"/>
    <x v="1859"/>
  </r>
  <r>
    <x v="710"/>
    <x v="77"/>
    <x v="1860"/>
  </r>
  <r>
    <x v="711"/>
    <x v="1"/>
    <x v="1861"/>
  </r>
  <r>
    <x v="711"/>
    <x v="72"/>
    <x v="1862"/>
  </r>
  <r>
    <x v="712"/>
    <x v="1"/>
    <x v="1863"/>
  </r>
  <r>
    <x v="712"/>
    <x v="77"/>
    <x v="1864"/>
  </r>
  <r>
    <x v="713"/>
    <x v="10"/>
    <x v="1865"/>
  </r>
  <r>
    <x v="713"/>
    <x v="10"/>
    <x v="1866"/>
  </r>
  <r>
    <x v="713"/>
    <x v="10"/>
    <x v="1867"/>
  </r>
  <r>
    <x v="713"/>
    <x v="10"/>
    <x v="1868"/>
  </r>
  <r>
    <x v="713"/>
    <x v="10"/>
    <x v="1869"/>
  </r>
  <r>
    <x v="713"/>
    <x v="10"/>
    <x v="1870"/>
  </r>
  <r>
    <x v="713"/>
    <x v="1"/>
    <x v="1871"/>
  </r>
  <r>
    <x v="713"/>
    <x v="8"/>
    <x v="1601"/>
  </r>
  <r>
    <x v="714"/>
    <x v="82"/>
    <x v="1872"/>
  </r>
  <r>
    <x v="714"/>
    <x v="10"/>
    <x v="1873"/>
  </r>
  <r>
    <x v="714"/>
    <x v="1"/>
    <x v="1874"/>
  </r>
  <r>
    <x v="714"/>
    <x v="85"/>
    <x v="7"/>
  </r>
  <r>
    <x v="714"/>
    <x v="8"/>
    <x v="1875"/>
  </r>
  <r>
    <x v="715"/>
    <x v="1"/>
    <x v="1876"/>
  </r>
  <r>
    <x v="715"/>
    <x v="86"/>
    <x v="1877"/>
  </r>
  <r>
    <x v="716"/>
    <x v="1"/>
    <x v="1878"/>
  </r>
  <r>
    <x v="716"/>
    <x v="85"/>
    <x v="1879"/>
  </r>
  <r>
    <x v="716"/>
    <x v="53"/>
    <x v="1535"/>
  </r>
  <r>
    <x v="716"/>
    <x v="72"/>
    <x v="1880"/>
  </r>
  <r>
    <x v="716"/>
    <x v="72"/>
    <x v="1881"/>
  </r>
  <r>
    <x v="717"/>
    <x v="1"/>
    <x v="1882"/>
  </r>
  <r>
    <x v="717"/>
    <x v="72"/>
    <x v="1883"/>
  </r>
  <r>
    <x v="717"/>
    <x v="72"/>
    <x v="1884"/>
  </r>
  <r>
    <x v="718"/>
    <x v="84"/>
    <x v="7"/>
  </r>
  <r>
    <x v="719"/>
    <x v="1"/>
    <x v="1746"/>
  </r>
  <r>
    <x v="719"/>
    <x v="87"/>
    <x v="77"/>
  </r>
  <r>
    <x v="720"/>
    <x v="1"/>
    <x v="1885"/>
  </r>
  <r>
    <x v="720"/>
    <x v="87"/>
    <x v="7"/>
  </r>
  <r>
    <x v="720"/>
    <x v="72"/>
    <x v="1886"/>
  </r>
  <r>
    <x v="720"/>
    <x v="88"/>
    <x v="1887"/>
  </r>
  <r>
    <x v="720"/>
    <x v="89"/>
    <x v="77"/>
  </r>
  <r>
    <x v="721"/>
    <x v="1"/>
    <x v="1888"/>
  </r>
  <r>
    <x v="721"/>
    <x v="88"/>
    <x v="7"/>
  </r>
  <r>
    <x v="721"/>
    <x v="89"/>
    <x v="7"/>
  </r>
  <r>
    <x v="721"/>
    <x v="72"/>
    <x v="1889"/>
  </r>
  <r>
    <x v="722"/>
    <x v="1"/>
    <x v="1347"/>
  </r>
  <r>
    <x v="722"/>
    <x v="90"/>
    <x v="7"/>
  </r>
  <r>
    <x v="722"/>
    <x v="86"/>
    <x v="1348"/>
  </r>
  <r>
    <x v="723"/>
    <x v="91"/>
    <x v="7"/>
  </r>
  <r>
    <x v="724"/>
    <x v="1"/>
    <x v="1890"/>
  </r>
  <r>
    <x v="724"/>
    <x v="86"/>
    <x v="1891"/>
  </r>
  <r>
    <x v="725"/>
    <x v="33"/>
    <x v="7"/>
  </r>
  <r>
    <x v="726"/>
    <x v="10"/>
    <x v="1892"/>
  </r>
  <r>
    <x v="726"/>
    <x v="10"/>
    <x v="1893"/>
  </r>
  <r>
    <x v="726"/>
    <x v="10"/>
    <x v="1894"/>
  </r>
  <r>
    <x v="726"/>
    <x v="10"/>
    <x v="1895"/>
  </r>
  <r>
    <x v="726"/>
    <x v="10"/>
    <x v="1896"/>
  </r>
  <r>
    <x v="726"/>
    <x v="10"/>
    <x v="1897"/>
  </r>
  <r>
    <x v="726"/>
    <x v="10"/>
    <x v="1898"/>
  </r>
  <r>
    <x v="726"/>
    <x v="10"/>
    <x v="1899"/>
  </r>
  <r>
    <x v="726"/>
    <x v="10"/>
    <x v="1900"/>
  </r>
  <r>
    <x v="726"/>
    <x v="10"/>
    <x v="1901"/>
  </r>
  <r>
    <x v="726"/>
    <x v="1"/>
    <x v="1902"/>
  </r>
  <r>
    <x v="726"/>
    <x v="77"/>
    <x v="1903"/>
  </r>
  <r>
    <x v="727"/>
    <x v="5"/>
    <x v="1904"/>
  </r>
  <r>
    <x v="727"/>
    <x v="10"/>
    <x v="100"/>
  </r>
  <r>
    <x v="727"/>
    <x v="1"/>
    <x v="1904"/>
  </r>
  <r>
    <x v="727"/>
    <x v="1"/>
    <x v="1905"/>
  </r>
  <r>
    <x v="727"/>
    <x v="1"/>
    <x v="1906"/>
  </r>
  <r>
    <x v="727"/>
    <x v="5"/>
    <x v="100"/>
  </r>
  <r>
    <x v="727"/>
    <x v="91"/>
    <x v="1907"/>
  </r>
  <r>
    <x v="727"/>
    <x v="72"/>
    <x v="1908"/>
  </r>
  <r>
    <x v="728"/>
    <x v="8"/>
    <x v="1909"/>
  </r>
  <r>
    <x v="729"/>
    <x v="1"/>
    <x v="1910"/>
  </r>
  <r>
    <x v="729"/>
    <x v="77"/>
    <x v="1911"/>
  </r>
  <r>
    <x v="730"/>
    <x v="82"/>
    <x v="1912"/>
  </r>
  <r>
    <x v="730"/>
    <x v="10"/>
    <x v="1913"/>
  </r>
  <r>
    <x v="730"/>
    <x v="92"/>
    <x v="7"/>
  </r>
  <r>
    <x v="731"/>
    <x v="87"/>
    <x v="7"/>
  </r>
  <r>
    <x v="732"/>
    <x v="1"/>
    <x v="1914"/>
  </r>
  <r>
    <x v="732"/>
    <x v="31"/>
    <x v="1915"/>
  </r>
  <r>
    <x v="732"/>
    <x v="69"/>
    <x v="1916"/>
  </r>
  <r>
    <x v="733"/>
    <x v="1"/>
    <x v="1917"/>
  </r>
  <r>
    <x v="733"/>
    <x v="69"/>
    <x v="1918"/>
  </r>
  <r>
    <x v="734"/>
    <x v="1"/>
    <x v="1919"/>
  </r>
  <r>
    <x v="734"/>
    <x v="31"/>
    <x v="1920"/>
  </r>
  <r>
    <x v="735"/>
    <x v="1"/>
    <x v="1921"/>
  </r>
  <r>
    <x v="735"/>
    <x v="77"/>
    <x v="1922"/>
  </r>
  <r>
    <x v="736"/>
    <x v="1"/>
    <x v="1923"/>
  </r>
  <r>
    <x v="736"/>
    <x v="77"/>
    <x v="1924"/>
  </r>
  <r>
    <x v="736"/>
    <x v="93"/>
    <x v="1925"/>
  </r>
  <r>
    <x v="737"/>
    <x v="1"/>
    <x v="1926"/>
  </r>
  <r>
    <x v="737"/>
    <x v="93"/>
    <x v="7"/>
  </r>
  <r>
    <x v="737"/>
    <x v="31"/>
    <x v="1927"/>
  </r>
  <r>
    <x v="738"/>
    <x v="60"/>
    <x v="1928"/>
  </r>
  <r>
    <x v="738"/>
    <x v="82"/>
    <x v="1929"/>
  </r>
  <r>
    <x v="738"/>
    <x v="10"/>
    <x v="1930"/>
  </r>
  <r>
    <x v="738"/>
    <x v="10"/>
    <x v="1931"/>
  </r>
  <r>
    <x v="738"/>
    <x v="10"/>
    <x v="1932"/>
  </r>
  <r>
    <x v="738"/>
    <x v="1"/>
    <x v="1933"/>
  </r>
  <r>
    <x v="738"/>
    <x v="93"/>
    <x v="7"/>
  </r>
  <r>
    <x v="738"/>
    <x v="31"/>
    <x v="1934"/>
  </r>
  <r>
    <x v="738"/>
    <x v="77"/>
    <x v="1935"/>
  </r>
  <r>
    <x v="739"/>
    <x v="1"/>
    <x v="1936"/>
  </r>
  <r>
    <x v="739"/>
    <x v="77"/>
    <x v="1937"/>
  </r>
  <r>
    <x v="739"/>
    <x v="72"/>
    <x v="1938"/>
  </r>
  <r>
    <x v="740"/>
    <x v="60"/>
    <x v="1939"/>
  </r>
  <r>
    <x v="740"/>
    <x v="82"/>
    <x v="1940"/>
  </r>
  <r>
    <x v="740"/>
    <x v="10"/>
    <x v="1941"/>
  </r>
  <r>
    <x v="740"/>
    <x v="10"/>
    <x v="1942"/>
  </r>
  <r>
    <x v="740"/>
    <x v="10"/>
    <x v="1943"/>
  </r>
  <r>
    <x v="740"/>
    <x v="10"/>
    <x v="1944"/>
  </r>
  <r>
    <x v="740"/>
    <x v="10"/>
    <x v="1945"/>
  </r>
  <r>
    <x v="740"/>
    <x v="10"/>
    <x v="1946"/>
  </r>
  <r>
    <x v="740"/>
    <x v="10"/>
    <x v="1947"/>
  </r>
  <r>
    <x v="741"/>
    <x v="1"/>
    <x v="1948"/>
  </r>
  <r>
    <x v="741"/>
    <x v="92"/>
    <x v="1949"/>
  </r>
  <r>
    <x v="742"/>
    <x v="89"/>
    <x v="7"/>
  </r>
  <r>
    <x v="742"/>
    <x v="1"/>
    <x v="1950"/>
  </r>
  <r>
    <x v="742"/>
    <x v="77"/>
    <x v="1951"/>
  </r>
  <r>
    <x v="743"/>
    <x v="1"/>
    <x v="1952"/>
  </r>
  <r>
    <x v="743"/>
    <x v="77"/>
    <x v="1953"/>
  </r>
  <r>
    <x v="743"/>
    <x v="77"/>
    <x v="1954"/>
  </r>
  <r>
    <x v="743"/>
    <x v="77"/>
    <x v="1955"/>
  </r>
  <r>
    <x v="744"/>
    <x v="1"/>
    <x v="1956"/>
  </r>
  <r>
    <x v="744"/>
    <x v="77"/>
    <x v="1957"/>
  </r>
  <r>
    <x v="745"/>
    <x v="10"/>
    <x v="1958"/>
  </r>
  <r>
    <x v="745"/>
    <x v="10"/>
    <x v="1959"/>
  </r>
  <r>
    <x v="745"/>
    <x v="10"/>
    <x v="1897"/>
  </r>
  <r>
    <x v="745"/>
    <x v="10"/>
    <x v="1898"/>
  </r>
  <r>
    <x v="745"/>
    <x v="10"/>
    <x v="1899"/>
  </r>
  <r>
    <x v="745"/>
    <x v="10"/>
    <x v="1960"/>
  </r>
  <r>
    <x v="745"/>
    <x v="10"/>
    <x v="1961"/>
  </r>
  <r>
    <x v="745"/>
    <x v="10"/>
    <x v="1962"/>
  </r>
  <r>
    <x v="745"/>
    <x v="1"/>
    <x v="1963"/>
  </r>
  <r>
    <x v="745"/>
    <x v="77"/>
    <x v="1964"/>
  </r>
  <r>
    <x v="745"/>
    <x v="31"/>
    <x v="1965"/>
  </r>
  <r>
    <x v="745"/>
    <x v="86"/>
    <x v="1348"/>
  </r>
  <r>
    <x v="746"/>
    <x v="10"/>
    <x v="1904"/>
  </r>
  <r>
    <x v="746"/>
    <x v="1"/>
    <x v="1966"/>
  </r>
  <r>
    <x v="746"/>
    <x v="86"/>
    <x v="1967"/>
  </r>
  <r>
    <x v="746"/>
    <x v="72"/>
    <x v="1884"/>
  </r>
  <r>
    <x v="746"/>
    <x v="77"/>
    <x v="1968"/>
  </r>
  <r>
    <x v="746"/>
    <x v="31"/>
    <x v="1969"/>
  </r>
  <r>
    <x v="746"/>
    <x v="77"/>
    <x v="1970"/>
  </r>
  <r>
    <x v="746"/>
    <x v="31"/>
    <x v="1971"/>
  </r>
  <r>
    <x v="747"/>
    <x v="1"/>
    <x v="1972"/>
  </r>
  <r>
    <x v="747"/>
    <x v="31"/>
    <x v="1973"/>
  </r>
  <r>
    <x v="747"/>
    <x v="77"/>
    <x v="1974"/>
  </r>
  <r>
    <x v="747"/>
    <x v="8"/>
    <x v="1975"/>
  </r>
  <r>
    <x v="748"/>
    <x v="10"/>
    <x v="1976"/>
  </r>
  <r>
    <x v="748"/>
    <x v="10"/>
    <x v="167"/>
  </r>
  <r>
    <x v="748"/>
    <x v="94"/>
    <x v="1977"/>
  </r>
  <r>
    <x v="749"/>
    <x v="94"/>
    <x v="7"/>
  </r>
  <r>
    <x v="749"/>
    <x v="77"/>
    <x v="1978"/>
  </r>
  <r>
    <x v="749"/>
    <x v="72"/>
    <x v="1979"/>
  </r>
  <r>
    <x v="749"/>
    <x v="8"/>
    <x v="1980"/>
  </r>
  <r>
    <x v="749"/>
    <x v="77"/>
    <x v="1981"/>
  </r>
  <r>
    <x v="750"/>
    <x v="82"/>
    <x v="1982"/>
  </r>
  <r>
    <x v="750"/>
    <x v="10"/>
    <x v="1983"/>
  </r>
  <r>
    <x v="750"/>
    <x v="10"/>
    <x v="1984"/>
  </r>
  <r>
    <x v="750"/>
    <x v="10"/>
    <x v="1985"/>
  </r>
  <r>
    <x v="750"/>
    <x v="10"/>
    <x v="1986"/>
  </r>
  <r>
    <x v="750"/>
    <x v="31"/>
    <x v="1987"/>
  </r>
  <r>
    <x v="750"/>
    <x v="77"/>
    <x v="1988"/>
  </r>
  <r>
    <x v="750"/>
    <x v="77"/>
    <x v="1989"/>
  </r>
  <r>
    <x v="750"/>
    <x v="31"/>
    <x v="1990"/>
  </r>
  <r>
    <x v="750"/>
    <x v="51"/>
    <x v="1991"/>
  </r>
  <r>
    <x v="751"/>
    <x v="10"/>
    <x v="1992"/>
  </r>
  <r>
    <x v="751"/>
    <x v="1"/>
    <x v="1993"/>
  </r>
  <r>
    <x v="751"/>
    <x v="77"/>
    <x v="1994"/>
  </r>
  <r>
    <x v="751"/>
    <x v="31"/>
    <x v="1995"/>
  </r>
  <r>
    <x v="751"/>
    <x v="73"/>
    <x v="1996"/>
  </r>
  <r>
    <x v="752"/>
    <x v="82"/>
    <x v="1940"/>
  </r>
  <r>
    <x v="752"/>
    <x v="10"/>
    <x v="1941"/>
  </r>
  <r>
    <x v="752"/>
    <x v="1"/>
    <x v="1997"/>
  </r>
  <r>
    <x v="752"/>
    <x v="95"/>
    <x v="7"/>
  </r>
  <r>
    <x v="752"/>
    <x v="93"/>
    <x v="1998"/>
  </r>
  <r>
    <x v="752"/>
    <x v="51"/>
    <x v="1999"/>
  </r>
  <r>
    <x v="752"/>
    <x v="77"/>
    <x v="2000"/>
  </r>
  <r>
    <x v="752"/>
    <x v="73"/>
    <x v="2001"/>
  </r>
  <r>
    <x v="752"/>
    <x v="72"/>
    <x v="2002"/>
  </r>
  <r>
    <x v="752"/>
    <x v="8"/>
    <x v="2003"/>
  </r>
  <r>
    <x v="753"/>
    <x v="1"/>
    <x v="2004"/>
  </r>
  <r>
    <x v="753"/>
    <x v="72"/>
    <x v="2005"/>
  </r>
  <r>
    <x v="754"/>
    <x v="8"/>
    <x v="1909"/>
  </r>
  <r>
    <x v="754"/>
    <x v="1"/>
    <x v="2006"/>
  </r>
  <r>
    <x v="754"/>
    <x v="77"/>
    <x v="2007"/>
  </r>
  <r>
    <x v="755"/>
    <x v="1"/>
    <x v="2008"/>
  </r>
  <r>
    <x v="755"/>
    <x v="72"/>
    <x v="2009"/>
  </r>
  <r>
    <x v="756"/>
    <x v="54"/>
    <x v="2010"/>
  </r>
  <r>
    <x v="756"/>
    <x v="1"/>
    <x v="2011"/>
  </r>
  <r>
    <x v="756"/>
    <x v="72"/>
    <x v="2012"/>
  </r>
  <r>
    <x v="757"/>
    <x v="54"/>
    <x v="2013"/>
  </r>
  <r>
    <x v="757"/>
    <x v="1"/>
    <x v="2014"/>
  </r>
  <r>
    <x v="757"/>
    <x v="72"/>
    <x v="2015"/>
  </r>
  <r>
    <x v="757"/>
    <x v="72"/>
    <x v="2016"/>
  </r>
  <r>
    <x v="757"/>
    <x v="77"/>
    <x v="1814"/>
  </r>
  <r>
    <x v="757"/>
    <x v="8"/>
    <x v="2017"/>
  </r>
  <r>
    <x v="757"/>
    <x v="72"/>
    <x v="2018"/>
  </r>
  <r>
    <x v="758"/>
    <x v="82"/>
    <x v="2019"/>
  </r>
  <r>
    <x v="758"/>
    <x v="1"/>
    <x v="2020"/>
  </r>
  <r>
    <x v="758"/>
    <x v="96"/>
    <x v="2021"/>
  </r>
  <r>
    <x v="758"/>
    <x v="72"/>
    <x v="2022"/>
  </r>
  <r>
    <x v="758"/>
    <x v="31"/>
    <x v="2023"/>
  </r>
  <r>
    <x v="758"/>
    <x v="77"/>
    <x v="2024"/>
  </r>
  <r>
    <x v="758"/>
    <x v="72"/>
    <x v="2025"/>
  </r>
  <r>
    <x v="758"/>
    <x v="77"/>
    <x v="2026"/>
  </r>
  <r>
    <x v="759"/>
    <x v="77"/>
    <x v="2027"/>
  </r>
  <r>
    <x v="759"/>
    <x v="1"/>
    <x v="2028"/>
  </r>
  <r>
    <x v="759"/>
    <x v="77"/>
    <x v="2029"/>
  </r>
  <r>
    <x v="759"/>
    <x v="96"/>
    <x v="2030"/>
  </r>
  <r>
    <x v="759"/>
    <x v="77"/>
    <x v="2031"/>
  </r>
  <r>
    <x v="759"/>
    <x v="31"/>
    <x v="2032"/>
  </r>
  <r>
    <x v="759"/>
    <x v="54"/>
    <x v="938"/>
  </r>
  <r>
    <x v="760"/>
    <x v="1"/>
    <x v="2033"/>
  </r>
  <r>
    <x v="760"/>
    <x v="72"/>
    <x v="2034"/>
  </r>
  <r>
    <x v="761"/>
    <x v="5"/>
    <x v="103"/>
  </r>
  <r>
    <x v="761"/>
    <x v="10"/>
    <x v="852"/>
  </r>
  <r>
    <x v="761"/>
    <x v="1"/>
    <x v="103"/>
  </r>
  <r>
    <x v="761"/>
    <x v="1"/>
    <x v="2035"/>
  </r>
  <r>
    <x v="761"/>
    <x v="72"/>
    <x v="2032"/>
  </r>
  <r>
    <x v="761"/>
    <x v="95"/>
    <x v="2036"/>
  </r>
  <r>
    <x v="761"/>
    <x v="5"/>
    <x v="852"/>
  </r>
  <r>
    <x v="761"/>
    <x v="31"/>
    <x v="2037"/>
  </r>
  <r>
    <x v="762"/>
    <x v="10"/>
    <x v="2038"/>
  </r>
  <r>
    <x v="762"/>
    <x v="10"/>
    <x v="2039"/>
  </r>
  <r>
    <x v="762"/>
    <x v="10"/>
    <x v="2040"/>
  </r>
  <r>
    <x v="762"/>
    <x v="10"/>
    <x v="2041"/>
  </r>
  <r>
    <x v="762"/>
    <x v="10"/>
    <x v="2042"/>
  </r>
  <r>
    <x v="762"/>
    <x v="10"/>
    <x v="2043"/>
  </r>
  <r>
    <x v="762"/>
    <x v="10"/>
    <x v="23"/>
  </r>
  <r>
    <x v="762"/>
    <x v="10"/>
    <x v="2044"/>
  </r>
  <r>
    <x v="762"/>
    <x v="10"/>
    <x v="2045"/>
  </r>
  <r>
    <x v="762"/>
    <x v="10"/>
    <x v="2046"/>
  </r>
  <r>
    <x v="762"/>
    <x v="10"/>
    <x v="2047"/>
  </r>
  <r>
    <x v="762"/>
    <x v="10"/>
    <x v="2048"/>
  </r>
  <r>
    <x v="762"/>
    <x v="1"/>
    <x v="2049"/>
  </r>
  <r>
    <x v="762"/>
    <x v="31"/>
    <x v="2050"/>
  </r>
  <r>
    <x v="762"/>
    <x v="77"/>
    <x v="2051"/>
  </r>
  <r>
    <x v="762"/>
    <x v="97"/>
    <x v="2052"/>
  </r>
  <r>
    <x v="763"/>
    <x v="8"/>
    <x v="2053"/>
  </r>
  <r>
    <x v="763"/>
    <x v="1"/>
    <x v="2054"/>
  </r>
  <r>
    <x v="763"/>
    <x v="97"/>
    <x v="2055"/>
  </r>
  <r>
    <x v="763"/>
    <x v="77"/>
    <x v="1690"/>
  </r>
  <r>
    <x v="764"/>
    <x v="1"/>
    <x v="2056"/>
  </r>
  <r>
    <x v="764"/>
    <x v="31"/>
    <x v="2057"/>
  </r>
  <r>
    <x v="764"/>
    <x v="77"/>
    <x v="2058"/>
  </r>
  <r>
    <x v="764"/>
    <x v="54"/>
    <x v="2059"/>
  </r>
  <r>
    <x v="764"/>
    <x v="77"/>
    <x v="2060"/>
  </r>
  <r>
    <x v="764"/>
    <x v="77"/>
    <x v="2061"/>
  </r>
  <r>
    <x v="764"/>
    <x v="77"/>
    <x v="2062"/>
  </r>
  <r>
    <x v="765"/>
    <x v="1"/>
    <x v="2063"/>
  </r>
  <r>
    <x v="765"/>
    <x v="31"/>
    <x v="2064"/>
  </r>
  <r>
    <x v="765"/>
    <x v="97"/>
    <x v="1585"/>
  </r>
  <r>
    <x v="766"/>
    <x v="77"/>
    <x v="2065"/>
  </r>
  <r>
    <x v="766"/>
    <x v="1"/>
    <x v="2066"/>
  </r>
  <r>
    <x v="766"/>
    <x v="72"/>
    <x v="2067"/>
  </r>
  <r>
    <x v="766"/>
    <x v="31"/>
    <x v="2068"/>
  </r>
  <r>
    <x v="766"/>
    <x v="72"/>
    <x v="2069"/>
  </r>
  <r>
    <x v="766"/>
    <x v="97"/>
    <x v="2070"/>
  </r>
  <r>
    <x v="766"/>
    <x v="31"/>
    <x v="2071"/>
  </r>
  <r>
    <x v="766"/>
    <x v="31"/>
    <x v="2072"/>
  </r>
  <r>
    <x v="766"/>
    <x v="77"/>
    <x v="2073"/>
  </r>
  <r>
    <x v="766"/>
    <x v="77"/>
    <x v="2074"/>
  </r>
  <r>
    <x v="766"/>
    <x v="97"/>
    <x v="2075"/>
  </r>
  <r>
    <x v="767"/>
    <x v="77"/>
    <x v="2076"/>
  </r>
  <r>
    <x v="767"/>
    <x v="98"/>
    <x v="2077"/>
  </r>
  <r>
    <x v="767"/>
    <x v="10"/>
    <x v="2078"/>
  </r>
  <r>
    <x v="767"/>
    <x v="10"/>
    <x v="2079"/>
  </r>
  <r>
    <x v="767"/>
    <x v="1"/>
    <x v="2080"/>
  </r>
  <r>
    <x v="767"/>
    <x v="31"/>
    <x v="2081"/>
  </r>
  <r>
    <x v="767"/>
    <x v="72"/>
    <x v="2082"/>
  </r>
  <r>
    <x v="767"/>
    <x v="72"/>
    <x v="2083"/>
  </r>
  <r>
    <x v="767"/>
    <x v="72"/>
    <x v="2084"/>
  </r>
  <r>
    <x v="767"/>
    <x v="72"/>
    <x v="2085"/>
  </r>
  <r>
    <x v="767"/>
    <x v="31"/>
    <x v="2086"/>
  </r>
  <r>
    <x v="767"/>
    <x v="77"/>
    <x v="2087"/>
  </r>
  <r>
    <x v="767"/>
    <x v="31"/>
    <x v="1889"/>
  </r>
  <r>
    <x v="767"/>
    <x v="72"/>
    <x v="2088"/>
  </r>
  <r>
    <x v="767"/>
    <x v="77"/>
    <x v="2089"/>
  </r>
  <r>
    <x v="768"/>
    <x v="8"/>
    <x v="2090"/>
  </r>
  <r>
    <x v="768"/>
    <x v="1"/>
    <x v="2091"/>
  </r>
  <r>
    <x v="768"/>
    <x v="72"/>
    <x v="2092"/>
  </r>
  <r>
    <x v="768"/>
    <x v="31"/>
    <x v="1880"/>
  </r>
  <r>
    <x v="768"/>
    <x v="72"/>
    <x v="2093"/>
  </r>
  <r>
    <x v="769"/>
    <x v="98"/>
    <x v="2094"/>
  </r>
  <r>
    <x v="769"/>
    <x v="1"/>
    <x v="2095"/>
  </r>
  <r>
    <x v="769"/>
    <x v="72"/>
    <x v="2096"/>
  </r>
  <r>
    <x v="769"/>
    <x v="31"/>
    <x v="2097"/>
  </r>
  <r>
    <x v="769"/>
    <x v="8"/>
    <x v="2098"/>
  </r>
  <r>
    <x v="769"/>
    <x v="97"/>
    <x v="2099"/>
  </r>
  <r>
    <x v="769"/>
    <x v="72"/>
    <x v="2100"/>
  </r>
  <r>
    <x v="769"/>
    <x v="31"/>
    <x v="2101"/>
  </r>
  <r>
    <x v="769"/>
    <x v="77"/>
    <x v="2102"/>
  </r>
  <r>
    <x v="769"/>
    <x v="72"/>
    <x v="2103"/>
  </r>
  <r>
    <x v="770"/>
    <x v="1"/>
    <x v="2104"/>
  </r>
  <r>
    <x v="771"/>
    <x v="8"/>
    <x v="2105"/>
  </r>
  <r>
    <x v="771"/>
    <x v="8"/>
    <x v="562"/>
  </r>
  <r>
    <x v="771"/>
    <x v="1"/>
    <x v="2106"/>
  </r>
  <r>
    <x v="771"/>
    <x v="31"/>
    <x v="2107"/>
  </r>
  <r>
    <x v="771"/>
    <x v="72"/>
    <x v="2108"/>
  </r>
  <r>
    <x v="771"/>
    <x v="31"/>
    <x v="2109"/>
  </r>
  <r>
    <x v="771"/>
    <x v="77"/>
    <x v="2110"/>
  </r>
  <r>
    <x v="771"/>
    <x v="72"/>
    <x v="2111"/>
  </r>
  <r>
    <x v="772"/>
    <x v="1"/>
    <x v="2112"/>
  </r>
  <r>
    <x v="772"/>
    <x v="77"/>
    <x v="2113"/>
  </r>
  <r>
    <x v="772"/>
    <x v="72"/>
    <x v="2114"/>
  </r>
  <r>
    <x v="772"/>
    <x v="77"/>
    <x v="2115"/>
  </r>
  <r>
    <x v="773"/>
    <x v="8"/>
    <x v="2116"/>
  </r>
  <r>
    <x v="774"/>
    <x v="10"/>
    <x v="2117"/>
  </r>
  <r>
    <x v="774"/>
    <x v="10"/>
    <x v="2118"/>
  </r>
  <r>
    <x v="774"/>
    <x v="10"/>
    <x v="2119"/>
  </r>
  <r>
    <x v="774"/>
    <x v="10"/>
    <x v="2120"/>
  </r>
  <r>
    <x v="774"/>
    <x v="10"/>
    <x v="2121"/>
  </r>
  <r>
    <x v="774"/>
    <x v="10"/>
    <x v="2122"/>
  </r>
  <r>
    <x v="774"/>
    <x v="10"/>
    <x v="2122"/>
  </r>
  <r>
    <x v="774"/>
    <x v="10"/>
    <x v="2123"/>
  </r>
  <r>
    <x v="775"/>
    <x v="1"/>
    <x v="2124"/>
  </r>
  <r>
    <x v="776"/>
    <x v="1"/>
    <x v="2125"/>
  </r>
  <r>
    <x v="776"/>
    <x v="8"/>
    <x v="2126"/>
  </r>
  <r>
    <x v="776"/>
    <x v="77"/>
    <x v="2127"/>
  </r>
  <r>
    <x v="777"/>
    <x v="5"/>
    <x v="848"/>
  </r>
  <r>
    <x v="777"/>
    <x v="10"/>
    <x v="828"/>
  </r>
  <r>
    <x v="777"/>
    <x v="1"/>
    <x v="848"/>
  </r>
  <r>
    <x v="777"/>
    <x v="5"/>
    <x v="828"/>
  </r>
  <r>
    <x v="778"/>
    <x v="1"/>
    <x v="2128"/>
  </r>
  <r>
    <x v="778"/>
    <x v="31"/>
    <x v="2129"/>
  </r>
  <r>
    <x v="779"/>
    <x v="60"/>
    <x v="2130"/>
  </r>
  <r>
    <x v="779"/>
    <x v="10"/>
    <x v="2131"/>
  </r>
  <r>
    <x v="779"/>
    <x v="1"/>
    <x v="2132"/>
  </r>
  <r>
    <x v="779"/>
    <x v="31"/>
    <x v="2133"/>
  </r>
  <r>
    <x v="780"/>
    <x v="1"/>
    <x v="2134"/>
  </r>
  <r>
    <x v="780"/>
    <x v="31"/>
    <x v="2135"/>
  </r>
  <r>
    <x v="781"/>
    <x v="1"/>
    <x v="798"/>
  </r>
  <r>
    <x v="781"/>
    <x v="31"/>
    <x v="2136"/>
  </r>
  <r>
    <x v="782"/>
    <x v="10"/>
    <x v="2137"/>
  </r>
  <r>
    <x v="782"/>
    <x v="10"/>
    <x v="2138"/>
  </r>
  <r>
    <x v="782"/>
    <x v="10"/>
    <x v="2139"/>
  </r>
  <r>
    <x v="782"/>
    <x v="10"/>
    <x v="2140"/>
  </r>
  <r>
    <x v="783"/>
    <x v="1"/>
    <x v="2141"/>
  </r>
  <r>
    <x v="783"/>
    <x v="8"/>
    <x v="2142"/>
  </r>
  <r>
    <x v="784"/>
    <x v="10"/>
    <x v="2143"/>
  </r>
  <r>
    <x v="784"/>
    <x v="10"/>
    <x v="2144"/>
  </r>
  <r>
    <x v="784"/>
    <x v="10"/>
    <x v="2145"/>
  </r>
  <r>
    <x v="784"/>
    <x v="10"/>
    <x v="2146"/>
  </r>
  <r>
    <x v="784"/>
    <x v="10"/>
    <x v="2147"/>
  </r>
  <r>
    <x v="784"/>
    <x v="10"/>
    <x v="2148"/>
  </r>
  <r>
    <x v="784"/>
    <x v="10"/>
    <x v="2148"/>
  </r>
  <r>
    <x v="784"/>
    <x v="10"/>
    <x v="2149"/>
  </r>
  <r>
    <x v="785"/>
    <x v="10"/>
    <x v="2150"/>
  </r>
  <r>
    <x v="785"/>
    <x v="1"/>
    <x v="2151"/>
  </r>
  <r>
    <x v="785"/>
    <x v="25"/>
    <x v="2152"/>
  </r>
  <r>
    <x v="786"/>
    <x v="29"/>
    <x v="7"/>
  </r>
  <r>
    <x v="786"/>
    <x v="25"/>
    <x v="2153"/>
  </r>
  <r>
    <x v="787"/>
    <x v="10"/>
    <x v="2154"/>
  </r>
  <r>
    <x v="787"/>
    <x v="1"/>
    <x v="2155"/>
  </r>
  <r>
    <x v="788"/>
    <x v="1"/>
    <x v="2156"/>
  </r>
  <r>
    <x v="789"/>
    <x v="8"/>
    <x v="2157"/>
  </r>
  <r>
    <x v="790"/>
    <x v="10"/>
    <x v="2158"/>
  </r>
  <r>
    <x v="790"/>
    <x v="10"/>
    <x v="2159"/>
  </r>
  <r>
    <x v="790"/>
    <x v="10"/>
    <x v="2160"/>
  </r>
  <r>
    <x v="790"/>
    <x v="10"/>
    <x v="2161"/>
  </r>
  <r>
    <x v="790"/>
    <x v="10"/>
    <x v="2161"/>
  </r>
  <r>
    <x v="790"/>
    <x v="10"/>
    <x v="2162"/>
  </r>
  <r>
    <x v="791"/>
    <x v="1"/>
    <x v="2163"/>
  </r>
  <r>
    <x v="791"/>
    <x v="77"/>
    <x v="942"/>
  </r>
  <r>
    <x v="791"/>
    <x v="72"/>
    <x v="2164"/>
  </r>
  <r>
    <x v="792"/>
    <x v="77"/>
    <x v="2165"/>
  </r>
  <r>
    <x v="792"/>
    <x v="10"/>
    <x v="2166"/>
  </r>
  <r>
    <x v="792"/>
    <x v="1"/>
    <x v="2167"/>
  </r>
  <r>
    <x v="792"/>
    <x v="72"/>
    <x v="2168"/>
  </r>
  <r>
    <x v="792"/>
    <x v="8"/>
    <x v="2169"/>
  </r>
  <r>
    <x v="793"/>
    <x v="77"/>
    <x v="2170"/>
  </r>
  <r>
    <x v="793"/>
    <x v="10"/>
    <x v="2171"/>
  </r>
  <r>
    <x v="793"/>
    <x v="10"/>
    <x v="2172"/>
  </r>
  <r>
    <x v="793"/>
    <x v="1"/>
    <x v="2173"/>
  </r>
  <r>
    <x v="793"/>
    <x v="77"/>
    <x v="2170"/>
  </r>
  <r>
    <x v="794"/>
    <x v="1"/>
    <x v="2174"/>
  </r>
  <r>
    <x v="794"/>
    <x v="72"/>
    <x v="2175"/>
  </r>
  <r>
    <x v="795"/>
    <x v="82"/>
    <x v="2176"/>
  </r>
  <r>
    <x v="795"/>
    <x v="77"/>
    <x v="798"/>
  </r>
  <r>
    <x v="795"/>
    <x v="10"/>
    <x v="2136"/>
  </r>
  <r>
    <x v="795"/>
    <x v="1"/>
    <x v="2177"/>
  </r>
  <r>
    <x v="795"/>
    <x v="72"/>
    <x v="2178"/>
  </r>
  <r>
    <x v="796"/>
    <x v="10"/>
    <x v="2179"/>
  </r>
  <r>
    <x v="796"/>
    <x v="10"/>
    <x v="2180"/>
  </r>
  <r>
    <x v="797"/>
    <x v="52"/>
    <x v="2181"/>
  </r>
  <r>
    <x v="797"/>
    <x v="99"/>
    <x v="2182"/>
  </r>
  <r>
    <x v="798"/>
    <x v="77"/>
    <x v="2183"/>
  </r>
  <r>
    <x v="798"/>
    <x v="10"/>
    <x v="2184"/>
  </r>
  <r>
    <x v="798"/>
    <x v="10"/>
    <x v="2185"/>
  </r>
  <r>
    <x v="799"/>
    <x v="10"/>
    <x v="269"/>
  </r>
  <r>
    <x v="799"/>
    <x v="10"/>
    <x v="2186"/>
  </r>
  <r>
    <x v="799"/>
    <x v="10"/>
    <x v="2187"/>
  </r>
  <r>
    <x v="799"/>
    <x v="10"/>
    <x v="2187"/>
  </r>
  <r>
    <x v="799"/>
    <x v="10"/>
    <x v="2188"/>
  </r>
  <r>
    <x v="799"/>
    <x v="10"/>
    <x v="2189"/>
  </r>
  <r>
    <x v="799"/>
    <x v="10"/>
    <x v="2190"/>
  </r>
  <r>
    <x v="799"/>
    <x v="10"/>
    <x v="2191"/>
  </r>
  <r>
    <x v="799"/>
    <x v="10"/>
    <x v="2192"/>
  </r>
  <r>
    <x v="799"/>
    <x v="10"/>
    <x v="2193"/>
  </r>
  <r>
    <x v="800"/>
    <x v="1"/>
    <x v="2194"/>
  </r>
  <r>
    <x v="801"/>
    <x v="10"/>
    <x v="2195"/>
  </r>
  <r>
    <x v="801"/>
    <x v="8"/>
    <x v="2196"/>
  </r>
  <r>
    <x v="802"/>
    <x v="60"/>
    <x v="2197"/>
  </r>
  <r>
    <x v="802"/>
    <x v="60"/>
    <x v="2197"/>
  </r>
  <r>
    <x v="803"/>
    <x v="10"/>
    <x v="2198"/>
  </r>
  <r>
    <x v="803"/>
    <x v="10"/>
    <x v="2199"/>
  </r>
  <r>
    <x v="803"/>
    <x v="10"/>
    <x v="2200"/>
  </r>
  <r>
    <x v="803"/>
    <x v="10"/>
    <x v="2201"/>
  </r>
  <r>
    <x v="803"/>
    <x v="10"/>
    <x v="2202"/>
  </r>
  <r>
    <x v="803"/>
    <x v="10"/>
    <x v="2203"/>
  </r>
  <r>
    <x v="803"/>
    <x v="10"/>
    <x v="2204"/>
  </r>
  <r>
    <x v="803"/>
    <x v="10"/>
    <x v="2204"/>
  </r>
  <r>
    <x v="804"/>
    <x v="8"/>
    <x v="2205"/>
  </r>
  <r>
    <x v="804"/>
    <x v="31"/>
    <x v="2206"/>
  </r>
  <r>
    <x v="805"/>
    <x v="54"/>
    <x v="2207"/>
  </r>
  <r>
    <x v="806"/>
    <x v="10"/>
    <x v="2208"/>
  </r>
  <r>
    <x v="806"/>
    <x v="10"/>
    <x v="2209"/>
  </r>
  <r>
    <x v="807"/>
    <x v="72"/>
    <x v="7"/>
  </r>
  <r>
    <x v="808"/>
    <x v="8"/>
    <x v="2210"/>
  </r>
  <r>
    <x v="808"/>
    <x v="8"/>
    <x v="2211"/>
  </r>
  <r>
    <x v="809"/>
    <x v="10"/>
    <x v="2212"/>
  </r>
  <r>
    <x v="809"/>
    <x v="10"/>
    <x v="2213"/>
  </r>
  <r>
    <x v="809"/>
    <x v="1"/>
    <x v="2214"/>
  </r>
  <r>
    <x v="810"/>
    <x v="10"/>
    <x v="20"/>
  </r>
  <r>
    <x v="811"/>
    <x v="1"/>
    <x v="2215"/>
  </r>
  <r>
    <x v="811"/>
    <x v="60"/>
    <x v="2216"/>
  </r>
  <r>
    <x v="812"/>
    <x v="8"/>
    <x v="7"/>
  </r>
  <r>
    <x v="812"/>
    <x v="8"/>
    <x v="7"/>
  </r>
  <r>
    <x v="813"/>
    <x v="54"/>
    <x v="2217"/>
  </r>
  <r>
    <x v="813"/>
    <x v="1"/>
    <x v="2218"/>
  </r>
  <r>
    <x v="813"/>
    <x v="60"/>
    <x v="2219"/>
  </r>
  <r>
    <x v="814"/>
    <x v="10"/>
    <x v="828"/>
  </r>
  <r>
    <x v="814"/>
    <x v="10"/>
    <x v="2220"/>
  </r>
  <r>
    <x v="814"/>
    <x v="10"/>
    <x v="2221"/>
  </r>
  <r>
    <x v="815"/>
    <x v="5"/>
    <x v="2222"/>
  </r>
  <r>
    <x v="815"/>
    <x v="10"/>
    <x v="2223"/>
  </r>
  <r>
    <x v="815"/>
    <x v="1"/>
    <x v="2222"/>
  </r>
  <r>
    <x v="815"/>
    <x v="5"/>
    <x v="2223"/>
  </r>
  <r>
    <x v="816"/>
    <x v="82"/>
    <x v="2224"/>
  </r>
  <r>
    <x v="816"/>
    <x v="10"/>
    <x v="2225"/>
  </r>
  <r>
    <x v="817"/>
    <x v="10"/>
    <x v="2226"/>
  </r>
  <r>
    <x v="817"/>
    <x v="10"/>
    <x v="2227"/>
  </r>
  <r>
    <x v="817"/>
    <x v="10"/>
    <x v="70"/>
  </r>
  <r>
    <x v="818"/>
    <x v="1"/>
    <x v="2228"/>
  </r>
  <r>
    <x v="819"/>
    <x v="33"/>
    <x v="7"/>
  </r>
  <r>
    <x v="819"/>
    <x v="31"/>
    <x v="7"/>
  </r>
  <r>
    <x v="820"/>
    <x v="82"/>
    <x v="2229"/>
  </r>
  <r>
    <x v="820"/>
    <x v="60"/>
    <x v="2230"/>
  </r>
  <r>
    <x v="820"/>
    <x v="60"/>
    <x v="2231"/>
  </r>
  <r>
    <x v="820"/>
    <x v="10"/>
    <x v="2232"/>
  </r>
  <r>
    <x v="820"/>
    <x v="10"/>
    <x v="2233"/>
  </r>
  <r>
    <x v="820"/>
    <x v="10"/>
    <x v="2165"/>
  </r>
  <r>
    <x v="820"/>
    <x v="10"/>
    <x v="2234"/>
  </r>
  <r>
    <x v="820"/>
    <x v="10"/>
    <x v="798"/>
  </r>
  <r>
    <x v="820"/>
    <x v="10"/>
    <x v="2235"/>
  </r>
  <r>
    <x v="820"/>
    <x v="10"/>
    <x v="2236"/>
  </r>
  <r>
    <x v="820"/>
    <x v="10"/>
    <x v="2237"/>
  </r>
  <r>
    <x v="820"/>
    <x v="10"/>
    <x v="2238"/>
  </r>
  <r>
    <x v="820"/>
    <x v="10"/>
    <x v="2239"/>
  </r>
  <r>
    <x v="820"/>
    <x v="10"/>
    <x v="2240"/>
  </r>
  <r>
    <x v="820"/>
    <x v="10"/>
    <x v="2241"/>
  </r>
  <r>
    <x v="821"/>
    <x v="82"/>
    <x v="721"/>
  </r>
  <r>
    <x v="821"/>
    <x v="77"/>
    <x v="2242"/>
  </r>
  <r>
    <x v="821"/>
    <x v="10"/>
    <x v="2243"/>
  </r>
  <r>
    <x v="822"/>
    <x v="10"/>
    <x v="2244"/>
  </r>
  <r>
    <x v="822"/>
    <x v="10"/>
    <x v="2245"/>
  </r>
  <r>
    <x v="823"/>
    <x v="60"/>
    <x v="2246"/>
  </r>
  <r>
    <x v="823"/>
    <x v="77"/>
    <x v="2247"/>
  </r>
  <r>
    <x v="823"/>
    <x v="10"/>
    <x v="2248"/>
  </r>
  <r>
    <x v="823"/>
    <x v="10"/>
    <x v="2249"/>
  </r>
  <r>
    <x v="823"/>
    <x v="10"/>
    <x v="2250"/>
  </r>
  <r>
    <x v="823"/>
    <x v="10"/>
    <x v="2251"/>
  </r>
  <r>
    <x v="823"/>
    <x v="10"/>
    <x v="2252"/>
  </r>
  <r>
    <x v="824"/>
    <x v="60"/>
    <x v="2253"/>
  </r>
  <r>
    <x v="824"/>
    <x v="82"/>
    <x v="2254"/>
  </r>
  <r>
    <x v="824"/>
    <x v="60"/>
    <x v="2255"/>
  </r>
  <r>
    <x v="824"/>
    <x v="60"/>
    <x v="2256"/>
  </r>
  <r>
    <x v="824"/>
    <x v="10"/>
    <x v="2257"/>
  </r>
  <r>
    <x v="824"/>
    <x v="10"/>
    <x v="2258"/>
  </r>
  <r>
    <x v="824"/>
    <x v="10"/>
    <x v="2259"/>
  </r>
  <r>
    <x v="824"/>
    <x v="10"/>
    <x v="2260"/>
  </r>
  <r>
    <x v="824"/>
    <x v="10"/>
    <x v="2261"/>
  </r>
  <r>
    <x v="824"/>
    <x v="10"/>
    <x v="2262"/>
  </r>
  <r>
    <x v="824"/>
    <x v="10"/>
    <x v="2263"/>
  </r>
  <r>
    <x v="824"/>
    <x v="10"/>
    <x v="2264"/>
  </r>
  <r>
    <x v="824"/>
    <x v="10"/>
    <x v="2265"/>
  </r>
  <r>
    <x v="824"/>
    <x v="10"/>
    <x v="2266"/>
  </r>
  <r>
    <x v="824"/>
    <x v="10"/>
    <x v="2267"/>
  </r>
  <r>
    <x v="825"/>
    <x v="82"/>
    <x v="721"/>
  </r>
  <r>
    <x v="826"/>
    <x v="90"/>
    <x v="2268"/>
  </r>
  <r>
    <x v="826"/>
    <x v="90"/>
    <x v="2269"/>
  </r>
  <r>
    <x v="827"/>
    <x v="10"/>
    <x v="2270"/>
  </r>
  <r>
    <x v="827"/>
    <x v="10"/>
    <x v="2271"/>
  </r>
  <r>
    <x v="828"/>
    <x v="54"/>
    <x v="2272"/>
  </r>
  <r>
    <x v="828"/>
    <x v="33"/>
    <x v="7"/>
  </r>
  <r>
    <x v="829"/>
    <x v="10"/>
    <x v="2273"/>
  </r>
  <r>
    <x v="829"/>
    <x v="10"/>
    <x v="2274"/>
  </r>
  <r>
    <x v="829"/>
    <x v="10"/>
    <x v="2275"/>
  </r>
  <r>
    <x v="829"/>
    <x v="10"/>
    <x v="2276"/>
  </r>
  <r>
    <x v="829"/>
    <x v="10"/>
    <x v="2277"/>
  </r>
  <r>
    <x v="829"/>
    <x v="10"/>
    <x v="2278"/>
  </r>
  <r>
    <x v="829"/>
    <x v="10"/>
    <x v="2279"/>
  </r>
  <r>
    <x v="829"/>
    <x v="10"/>
    <x v="28"/>
  </r>
  <r>
    <x v="830"/>
    <x v="1"/>
    <x v="2280"/>
  </r>
  <r>
    <x v="831"/>
    <x v="10"/>
    <x v="2281"/>
  </r>
  <r>
    <x v="832"/>
    <x v="10"/>
    <x v="43"/>
  </r>
  <r>
    <x v="832"/>
    <x v="10"/>
    <x v="2282"/>
  </r>
  <r>
    <x v="832"/>
    <x v="10"/>
    <x v="2283"/>
  </r>
  <r>
    <x v="832"/>
    <x v="10"/>
    <x v="2284"/>
  </r>
  <r>
    <x v="832"/>
    <x v="10"/>
    <x v="2277"/>
  </r>
  <r>
    <x v="832"/>
    <x v="10"/>
    <x v="2285"/>
  </r>
  <r>
    <x v="832"/>
    <x v="10"/>
    <x v="2286"/>
  </r>
  <r>
    <x v="833"/>
    <x v="10"/>
    <x v="2287"/>
  </r>
  <r>
    <x v="833"/>
    <x v="10"/>
    <x v="2189"/>
  </r>
  <r>
    <x v="833"/>
    <x v="10"/>
    <x v="2288"/>
  </r>
  <r>
    <x v="833"/>
    <x v="10"/>
    <x v="2289"/>
  </r>
  <r>
    <x v="833"/>
    <x v="10"/>
    <x v="2290"/>
  </r>
  <r>
    <x v="833"/>
    <x v="10"/>
    <x v="2291"/>
  </r>
  <r>
    <x v="834"/>
    <x v="100"/>
    <x v="2292"/>
  </r>
  <r>
    <x v="835"/>
    <x v="100"/>
    <x v="2293"/>
  </r>
  <r>
    <x v="836"/>
    <x v="99"/>
    <x v="2294"/>
  </r>
  <r>
    <x v="836"/>
    <x v="82"/>
    <x v="2295"/>
  </r>
  <r>
    <x v="836"/>
    <x v="10"/>
    <x v="2296"/>
  </r>
  <r>
    <x v="836"/>
    <x v="10"/>
    <x v="2297"/>
  </r>
  <r>
    <x v="836"/>
    <x v="10"/>
    <x v="2298"/>
  </r>
  <r>
    <x v="836"/>
    <x v="10"/>
    <x v="2299"/>
  </r>
  <r>
    <x v="836"/>
    <x v="10"/>
    <x v="2201"/>
  </r>
  <r>
    <x v="836"/>
    <x v="10"/>
    <x v="2300"/>
  </r>
  <r>
    <x v="837"/>
    <x v="10"/>
    <x v="2281"/>
  </r>
  <r>
    <x v="837"/>
    <x v="10"/>
    <x v="78"/>
  </r>
  <r>
    <x v="837"/>
    <x v="101"/>
    <x v="2301"/>
  </r>
  <r>
    <x v="838"/>
    <x v="101"/>
    <x v="7"/>
  </r>
  <r>
    <x v="839"/>
    <x v="101"/>
    <x v="7"/>
  </r>
  <r>
    <x v="839"/>
    <x v="101"/>
    <x v="7"/>
  </r>
  <r>
    <x v="840"/>
    <x v="10"/>
    <x v="2302"/>
  </r>
  <r>
    <x v="840"/>
    <x v="10"/>
    <x v="2303"/>
  </r>
  <r>
    <x v="840"/>
    <x v="10"/>
    <x v="2304"/>
  </r>
  <r>
    <x v="840"/>
    <x v="10"/>
    <x v="2305"/>
  </r>
  <r>
    <x v="840"/>
    <x v="10"/>
    <x v="2306"/>
  </r>
  <r>
    <x v="840"/>
    <x v="10"/>
    <x v="28"/>
  </r>
  <r>
    <x v="841"/>
    <x v="1"/>
    <x v="2307"/>
  </r>
  <r>
    <x v="842"/>
    <x v="10"/>
    <x v="2308"/>
  </r>
  <r>
    <x v="842"/>
    <x v="10"/>
    <x v="2309"/>
  </r>
  <r>
    <x v="843"/>
    <x v="60"/>
    <x v="2310"/>
  </r>
  <r>
    <x v="843"/>
    <x v="10"/>
    <x v="2311"/>
  </r>
  <r>
    <x v="843"/>
    <x v="10"/>
    <x v="2312"/>
  </r>
  <r>
    <x v="843"/>
    <x v="10"/>
    <x v="2313"/>
  </r>
  <r>
    <x v="843"/>
    <x v="10"/>
    <x v="2314"/>
  </r>
  <r>
    <x v="844"/>
    <x v="82"/>
    <x v="2315"/>
  </r>
  <r>
    <x v="844"/>
    <x v="10"/>
    <x v="2316"/>
  </r>
  <r>
    <x v="845"/>
    <x v="1"/>
    <x v="2317"/>
  </r>
  <r>
    <x v="845"/>
    <x v="101"/>
    <x v="2318"/>
  </r>
  <r>
    <x v="846"/>
    <x v="82"/>
    <x v="2319"/>
  </r>
  <r>
    <x v="846"/>
    <x v="10"/>
    <x v="2320"/>
  </r>
  <r>
    <x v="846"/>
    <x v="10"/>
    <x v="2321"/>
  </r>
  <r>
    <x v="846"/>
    <x v="10"/>
    <x v="2322"/>
  </r>
  <r>
    <x v="846"/>
    <x v="10"/>
    <x v="2323"/>
  </r>
  <r>
    <x v="847"/>
    <x v="77"/>
    <x v="2324"/>
  </r>
  <r>
    <x v="847"/>
    <x v="1"/>
    <x v="2325"/>
  </r>
  <r>
    <x v="848"/>
    <x v="1"/>
    <x v="74"/>
  </r>
  <r>
    <x v="849"/>
    <x v="10"/>
    <x v="2326"/>
  </r>
  <r>
    <x v="849"/>
    <x v="10"/>
    <x v="2327"/>
  </r>
  <r>
    <x v="849"/>
    <x v="10"/>
    <x v="2328"/>
  </r>
  <r>
    <x v="850"/>
    <x v="82"/>
    <x v="2329"/>
  </r>
  <r>
    <x v="850"/>
    <x v="10"/>
    <x v="2330"/>
  </r>
  <r>
    <x v="851"/>
    <x v="24"/>
    <x v="2331"/>
  </r>
  <r>
    <x v="851"/>
    <x v="10"/>
    <x v="2332"/>
  </r>
  <r>
    <x v="852"/>
    <x v="60"/>
    <x v="2333"/>
  </r>
  <r>
    <x v="852"/>
    <x v="10"/>
    <x v="2334"/>
  </r>
  <r>
    <x v="853"/>
    <x v="77"/>
    <x v="2335"/>
  </r>
  <r>
    <x v="853"/>
    <x v="8"/>
    <x v="2336"/>
  </r>
  <r>
    <x v="853"/>
    <x v="10"/>
    <x v="2337"/>
  </r>
  <r>
    <x v="854"/>
    <x v="24"/>
    <x v="1063"/>
  </r>
  <r>
    <x v="855"/>
    <x v="10"/>
    <x v="2338"/>
  </r>
  <r>
    <x v="855"/>
    <x v="10"/>
    <x v="2339"/>
  </r>
  <r>
    <x v="855"/>
    <x v="10"/>
    <x v="2340"/>
  </r>
  <r>
    <x v="855"/>
    <x v="10"/>
    <x v="2341"/>
  </r>
  <r>
    <x v="855"/>
    <x v="10"/>
    <x v="2342"/>
  </r>
  <r>
    <x v="855"/>
    <x v="10"/>
    <x v="2343"/>
  </r>
  <r>
    <x v="855"/>
    <x v="10"/>
    <x v="2189"/>
  </r>
  <r>
    <x v="856"/>
    <x v="5"/>
    <x v="2344"/>
  </r>
  <r>
    <x v="856"/>
    <x v="10"/>
    <x v="2345"/>
  </r>
  <r>
    <x v="856"/>
    <x v="1"/>
    <x v="2344"/>
  </r>
  <r>
    <x v="856"/>
    <x v="5"/>
    <x v="2345"/>
  </r>
  <r>
    <x v="857"/>
    <x v="82"/>
    <x v="2346"/>
  </r>
  <r>
    <x v="858"/>
    <x v="77"/>
    <x v="451"/>
  </r>
  <r>
    <x v="859"/>
    <x v="10"/>
    <x v="2347"/>
  </r>
  <r>
    <x v="859"/>
    <x v="10"/>
    <x v="2348"/>
  </r>
  <r>
    <x v="859"/>
    <x v="10"/>
    <x v="2349"/>
  </r>
  <r>
    <x v="859"/>
    <x v="10"/>
    <x v="2350"/>
  </r>
  <r>
    <x v="859"/>
    <x v="10"/>
    <x v="2351"/>
  </r>
  <r>
    <x v="859"/>
    <x v="10"/>
    <x v="2352"/>
  </r>
  <r>
    <x v="859"/>
    <x v="10"/>
    <x v="2353"/>
  </r>
  <r>
    <x v="859"/>
    <x v="10"/>
    <x v="2354"/>
  </r>
  <r>
    <x v="859"/>
    <x v="10"/>
    <x v="1409"/>
  </r>
  <r>
    <x v="860"/>
    <x v="1"/>
    <x v="2355"/>
  </r>
  <r>
    <x v="861"/>
    <x v="60"/>
    <x v="280"/>
  </r>
  <r>
    <x v="861"/>
    <x v="60"/>
    <x v="451"/>
  </r>
  <r>
    <x v="862"/>
    <x v="77"/>
    <x v="2356"/>
  </r>
  <r>
    <x v="862"/>
    <x v="10"/>
    <x v="2357"/>
  </r>
  <r>
    <x v="862"/>
    <x v="10"/>
    <x v="2358"/>
  </r>
  <r>
    <x v="862"/>
    <x v="10"/>
    <x v="2359"/>
  </r>
  <r>
    <x v="862"/>
    <x v="10"/>
    <x v="2360"/>
  </r>
  <r>
    <x v="862"/>
    <x v="10"/>
    <x v="2361"/>
  </r>
  <r>
    <x v="862"/>
    <x v="10"/>
    <x v="2362"/>
  </r>
  <r>
    <x v="863"/>
    <x v="77"/>
    <x v="2363"/>
  </r>
  <r>
    <x v="863"/>
    <x v="10"/>
    <x v="2364"/>
  </r>
  <r>
    <x v="864"/>
    <x v="54"/>
    <x v="2365"/>
  </r>
  <r>
    <x v="864"/>
    <x v="77"/>
    <x v="2366"/>
  </r>
  <r>
    <x v="864"/>
    <x v="10"/>
    <x v="2367"/>
  </r>
  <r>
    <x v="864"/>
    <x v="10"/>
    <x v="2368"/>
  </r>
  <r>
    <x v="865"/>
    <x v="77"/>
    <x v="721"/>
  </r>
  <r>
    <x v="865"/>
    <x v="77"/>
    <x v="721"/>
  </r>
  <r>
    <x v="865"/>
    <x v="10"/>
    <x v="2369"/>
  </r>
  <r>
    <x v="865"/>
    <x v="10"/>
    <x v="2370"/>
  </r>
  <r>
    <x v="865"/>
    <x v="10"/>
    <x v="2371"/>
  </r>
  <r>
    <x v="865"/>
    <x v="10"/>
    <x v="2372"/>
  </r>
  <r>
    <x v="866"/>
    <x v="77"/>
    <x v="2373"/>
  </r>
  <r>
    <x v="866"/>
    <x v="10"/>
    <x v="2374"/>
  </r>
  <r>
    <x v="867"/>
    <x v="8"/>
    <x v="2375"/>
  </r>
  <r>
    <x v="868"/>
    <x v="10"/>
    <x v="2376"/>
  </r>
  <r>
    <x v="868"/>
    <x v="10"/>
    <x v="2377"/>
  </r>
  <r>
    <x v="869"/>
    <x v="54"/>
    <x v="2378"/>
  </r>
  <r>
    <x v="870"/>
    <x v="8"/>
    <x v="2379"/>
  </r>
  <r>
    <x v="871"/>
    <x v="77"/>
    <x v="2380"/>
  </r>
  <r>
    <x v="872"/>
    <x v="10"/>
    <x v="2381"/>
  </r>
  <r>
    <x v="872"/>
    <x v="10"/>
    <x v="2382"/>
  </r>
  <r>
    <x v="872"/>
    <x v="10"/>
    <x v="2383"/>
  </r>
  <r>
    <x v="872"/>
    <x v="10"/>
    <x v="2384"/>
  </r>
  <r>
    <x v="872"/>
    <x v="10"/>
    <x v="2385"/>
  </r>
  <r>
    <x v="872"/>
    <x v="10"/>
    <x v="2386"/>
  </r>
  <r>
    <x v="872"/>
    <x v="10"/>
    <x v="2387"/>
  </r>
  <r>
    <x v="872"/>
    <x v="10"/>
    <x v="2388"/>
  </r>
  <r>
    <x v="873"/>
    <x v="77"/>
    <x v="2389"/>
  </r>
  <r>
    <x v="873"/>
    <x v="10"/>
    <x v="2390"/>
  </r>
  <r>
    <x v="873"/>
    <x v="10"/>
    <x v="2391"/>
  </r>
  <r>
    <x v="873"/>
    <x v="10"/>
    <x v="2392"/>
  </r>
  <r>
    <x v="873"/>
    <x v="10"/>
    <x v="2393"/>
  </r>
  <r>
    <x v="874"/>
    <x v="77"/>
    <x v="2394"/>
  </r>
  <r>
    <x v="874"/>
    <x v="82"/>
    <x v="2395"/>
  </r>
  <r>
    <x v="874"/>
    <x v="10"/>
    <x v="2396"/>
  </r>
  <r>
    <x v="874"/>
    <x v="10"/>
    <x v="2397"/>
  </r>
  <r>
    <x v="874"/>
    <x v="10"/>
    <x v="1985"/>
  </r>
  <r>
    <x v="874"/>
    <x v="10"/>
    <x v="2398"/>
  </r>
  <r>
    <x v="875"/>
    <x v="77"/>
    <x v="2399"/>
  </r>
  <r>
    <x v="875"/>
    <x v="10"/>
    <x v="2400"/>
  </r>
  <r>
    <x v="875"/>
    <x v="10"/>
    <x v="2401"/>
  </r>
  <r>
    <x v="875"/>
    <x v="10"/>
    <x v="2402"/>
  </r>
  <r>
    <x v="875"/>
    <x v="10"/>
    <x v="2403"/>
  </r>
  <r>
    <x v="876"/>
    <x v="24"/>
    <x v="2404"/>
  </r>
  <r>
    <x v="877"/>
    <x v="24"/>
    <x v="528"/>
  </r>
  <r>
    <x v="878"/>
    <x v="10"/>
    <x v="2405"/>
  </r>
  <r>
    <x v="878"/>
    <x v="10"/>
    <x v="2406"/>
  </r>
  <r>
    <x v="879"/>
    <x v="60"/>
    <x v="2407"/>
  </r>
  <r>
    <x v="879"/>
    <x v="82"/>
    <x v="2408"/>
  </r>
  <r>
    <x v="879"/>
    <x v="82"/>
    <x v="2409"/>
  </r>
  <r>
    <x v="879"/>
    <x v="24"/>
    <x v="2410"/>
  </r>
  <r>
    <x v="879"/>
    <x v="10"/>
    <x v="2411"/>
  </r>
  <r>
    <x v="879"/>
    <x v="10"/>
    <x v="2412"/>
  </r>
  <r>
    <x v="879"/>
    <x v="10"/>
    <x v="2413"/>
  </r>
  <r>
    <x v="879"/>
    <x v="10"/>
    <x v="2414"/>
  </r>
  <r>
    <x v="879"/>
    <x v="10"/>
    <x v="2415"/>
  </r>
  <r>
    <x v="880"/>
    <x v="82"/>
    <x v="2416"/>
  </r>
  <r>
    <x v="880"/>
    <x v="24"/>
    <x v="2417"/>
  </r>
  <r>
    <x v="880"/>
    <x v="10"/>
    <x v="2418"/>
  </r>
  <r>
    <x v="880"/>
    <x v="10"/>
    <x v="2419"/>
  </r>
  <r>
    <x v="881"/>
    <x v="10"/>
    <x v="2420"/>
  </r>
  <r>
    <x v="881"/>
    <x v="10"/>
    <x v="2421"/>
  </r>
  <r>
    <x v="881"/>
    <x v="10"/>
    <x v="2422"/>
  </r>
  <r>
    <x v="881"/>
    <x v="10"/>
    <x v="2423"/>
  </r>
  <r>
    <x v="881"/>
    <x v="10"/>
    <x v="2424"/>
  </r>
  <r>
    <x v="881"/>
    <x v="10"/>
    <x v="2425"/>
  </r>
  <r>
    <x v="881"/>
    <x v="10"/>
    <x v="2426"/>
  </r>
  <r>
    <x v="882"/>
    <x v="1"/>
    <x v="7"/>
  </r>
  <r>
    <x v="883"/>
    <x v="77"/>
    <x v="2427"/>
  </r>
  <r>
    <x v="884"/>
    <x v="10"/>
    <x v="2281"/>
  </r>
  <r>
    <x v="885"/>
    <x v="77"/>
    <x v="2428"/>
  </r>
  <r>
    <x v="886"/>
    <x v="10"/>
    <x v="2429"/>
  </r>
  <r>
    <x v="886"/>
    <x v="10"/>
    <x v="2430"/>
  </r>
  <r>
    <x v="886"/>
    <x v="10"/>
    <x v="2431"/>
  </r>
  <r>
    <x v="886"/>
    <x v="10"/>
    <x v="2432"/>
  </r>
  <r>
    <x v="886"/>
    <x v="10"/>
    <x v="2433"/>
  </r>
  <r>
    <x v="887"/>
    <x v="77"/>
    <x v="2434"/>
  </r>
  <r>
    <x v="887"/>
    <x v="10"/>
    <x v="2435"/>
  </r>
  <r>
    <x v="888"/>
    <x v="82"/>
    <x v="2436"/>
  </r>
  <r>
    <x v="888"/>
    <x v="99"/>
    <x v="2437"/>
  </r>
  <r>
    <x v="888"/>
    <x v="10"/>
    <x v="2438"/>
  </r>
  <r>
    <x v="888"/>
    <x v="10"/>
    <x v="2439"/>
  </r>
  <r>
    <x v="889"/>
    <x v="10"/>
    <x v="2440"/>
  </r>
  <r>
    <x v="889"/>
    <x v="77"/>
    <x v="2441"/>
  </r>
  <r>
    <x v="889"/>
    <x v="77"/>
    <x v="2442"/>
  </r>
  <r>
    <x v="889"/>
    <x v="10"/>
    <x v="2443"/>
  </r>
  <r>
    <x v="889"/>
    <x v="10"/>
    <x v="2444"/>
  </r>
  <r>
    <x v="889"/>
    <x v="10"/>
    <x v="2445"/>
  </r>
  <r>
    <x v="889"/>
    <x v="10"/>
    <x v="2279"/>
  </r>
  <r>
    <x v="889"/>
    <x v="10"/>
    <x v="2256"/>
  </r>
  <r>
    <x v="889"/>
    <x v="10"/>
    <x v="2446"/>
  </r>
  <r>
    <x v="889"/>
    <x v="10"/>
    <x v="2447"/>
  </r>
  <r>
    <x v="890"/>
    <x v="8"/>
    <x v="2448"/>
  </r>
  <r>
    <x v="891"/>
    <x v="25"/>
    <x v="2449"/>
  </r>
  <r>
    <x v="892"/>
    <x v="99"/>
    <x v="2450"/>
  </r>
  <r>
    <x v="892"/>
    <x v="10"/>
    <x v="1017"/>
  </r>
  <r>
    <x v="892"/>
    <x v="10"/>
    <x v="2451"/>
  </r>
  <r>
    <x v="893"/>
    <x v="25"/>
    <x v="7"/>
  </r>
  <r>
    <x v="893"/>
    <x v="10"/>
    <x v="13"/>
  </r>
  <r>
    <x v="893"/>
    <x v="10"/>
    <x v="2452"/>
  </r>
  <r>
    <x v="893"/>
    <x v="10"/>
    <x v="2453"/>
  </r>
  <r>
    <x v="893"/>
    <x v="10"/>
    <x v="2454"/>
  </r>
  <r>
    <x v="893"/>
    <x v="10"/>
    <x v="2455"/>
  </r>
  <r>
    <x v="893"/>
    <x v="10"/>
    <x v="2456"/>
  </r>
  <r>
    <x v="893"/>
    <x v="10"/>
    <x v="561"/>
  </r>
  <r>
    <x v="894"/>
    <x v="77"/>
    <x v="2457"/>
  </r>
  <r>
    <x v="894"/>
    <x v="10"/>
    <x v="2458"/>
  </r>
  <r>
    <x v="895"/>
    <x v="25"/>
    <x v="7"/>
  </r>
  <r>
    <x v="896"/>
    <x v="77"/>
    <x v="2459"/>
  </r>
  <r>
    <x v="896"/>
    <x v="82"/>
    <x v="2460"/>
  </r>
  <r>
    <x v="896"/>
    <x v="10"/>
    <x v="2461"/>
  </r>
  <r>
    <x v="896"/>
    <x v="10"/>
    <x v="2462"/>
  </r>
  <r>
    <x v="896"/>
    <x v="10"/>
    <x v="2463"/>
  </r>
  <r>
    <x v="896"/>
    <x v="10"/>
    <x v="2373"/>
  </r>
  <r>
    <x v="896"/>
    <x v="10"/>
    <x v="2464"/>
  </r>
  <r>
    <x v="896"/>
    <x v="10"/>
    <x v="2410"/>
  </r>
  <r>
    <x v="896"/>
    <x v="10"/>
    <x v="2465"/>
  </r>
  <r>
    <x v="896"/>
    <x v="10"/>
    <x v="2434"/>
  </r>
  <r>
    <x v="896"/>
    <x v="10"/>
    <x v="2466"/>
  </r>
  <r>
    <x v="896"/>
    <x v="10"/>
    <x v="2467"/>
  </r>
  <r>
    <x v="896"/>
    <x v="10"/>
    <x v="2468"/>
  </r>
  <r>
    <x v="896"/>
    <x v="10"/>
    <x v="2469"/>
  </r>
  <r>
    <x v="896"/>
    <x v="10"/>
    <x v="2470"/>
  </r>
  <r>
    <x v="897"/>
    <x v="82"/>
    <x v="2471"/>
  </r>
  <r>
    <x v="898"/>
    <x v="25"/>
    <x v="7"/>
  </r>
  <r>
    <x v="899"/>
    <x v="25"/>
    <x v="7"/>
  </r>
  <r>
    <x v="899"/>
    <x v="25"/>
    <x v="7"/>
  </r>
  <r>
    <x v="899"/>
    <x v="90"/>
    <x v="2472"/>
  </r>
  <r>
    <x v="899"/>
    <x v="90"/>
    <x v="2473"/>
  </r>
  <r>
    <x v="900"/>
    <x v="25"/>
    <x v="2474"/>
  </r>
  <r>
    <x v="901"/>
    <x v="29"/>
    <x v="7"/>
  </r>
  <r>
    <x v="901"/>
    <x v="25"/>
    <x v="2475"/>
  </r>
  <r>
    <x v="902"/>
    <x v="1"/>
    <x v="2476"/>
  </r>
  <r>
    <x v="902"/>
    <x v="9"/>
    <x v="7"/>
  </r>
  <r>
    <x v="902"/>
    <x v="9"/>
    <x v="7"/>
  </r>
  <r>
    <x v="903"/>
    <x v="77"/>
    <x v="2477"/>
  </r>
  <r>
    <x v="903"/>
    <x v="10"/>
    <x v="2478"/>
  </r>
  <r>
    <x v="903"/>
    <x v="10"/>
    <x v="2479"/>
  </r>
  <r>
    <x v="903"/>
    <x v="10"/>
    <x v="2480"/>
  </r>
  <r>
    <x v="903"/>
    <x v="10"/>
    <x v="2481"/>
  </r>
  <r>
    <x v="903"/>
    <x v="1"/>
    <x v="2482"/>
  </r>
  <r>
    <x v="903"/>
    <x v="8"/>
    <x v="2483"/>
  </r>
  <r>
    <x v="904"/>
    <x v="10"/>
    <x v="2484"/>
  </r>
  <r>
    <x v="904"/>
    <x v="5"/>
    <x v="2485"/>
  </r>
  <r>
    <x v="904"/>
    <x v="10"/>
    <x v="2486"/>
  </r>
  <r>
    <x v="904"/>
    <x v="1"/>
    <x v="2485"/>
  </r>
  <r>
    <x v="904"/>
    <x v="5"/>
    <x v="2486"/>
  </r>
  <r>
    <x v="905"/>
    <x v="82"/>
    <x v="2487"/>
  </r>
  <r>
    <x v="905"/>
    <x v="10"/>
    <x v="2488"/>
  </r>
  <r>
    <x v="906"/>
    <x v="77"/>
    <x v="2489"/>
  </r>
  <r>
    <x v="906"/>
    <x v="102"/>
    <x v="2490"/>
  </r>
  <r>
    <x v="906"/>
    <x v="10"/>
    <x v="2491"/>
  </r>
  <r>
    <x v="907"/>
    <x v="82"/>
    <x v="2492"/>
  </r>
  <r>
    <x v="907"/>
    <x v="10"/>
    <x v="2493"/>
  </r>
  <r>
    <x v="907"/>
    <x v="10"/>
    <x v="2494"/>
  </r>
  <r>
    <x v="907"/>
    <x v="10"/>
    <x v="2495"/>
  </r>
  <r>
    <x v="907"/>
    <x v="10"/>
    <x v="2496"/>
  </r>
  <r>
    <x v="907"/>
    <x v="33"/>
    <x v="7"/>
  </r>
  <r>
    <x v="908"/>
    <x v="82"/>
    <x v="2497"/>
  </r>
  <r>
    <x v="909"/>
    <x v="10"/>
    <x v="2498"/>
  </r>
  <r>
    <x v="909"/>
    <x v="10"/>
    <x v="2499"/>
  </r>
  <r>
    <x v="909"/>
    <x v="10"/>
    <x v="2500"/>
  </r>
  <r>
    <x v="909"/>
    <x v="10"/>
    <x v="2501"/>
  </r>
  <r>
    <x v="909"/>
    <x v="10"/>
    <x v="2502"/>
  </r>
  <r>
    <x v="910"/>
    <x v="1"/>
    <x v="2503"/>
  </r>
  <r>
    <x v="911"/>
    <x v="82"/>
    <x v="2504"/>
  </r>
  <r>
    <x v="911"/>
    <x v="10"/>
    <x v="2505"/>
  </r>
  <r>
    <x v="912"/>
    <x v="10"/>
    <x v="2506"/>
  </r>
  <r>
    <x v="912"/>
    <x v="10"/>
    <x v="2507"/>
  </r>
  <r>
    <x v="913"/>
    <x v="77"/>
    <x v="2508"/>
  </r>
  <r>
    <x v="913"/>
    <x v="10"/>
    <x v="2509"/>
  </r>
  <r>
    <x v="913"/>
    <x v="10"/>
    <x v="2510"/>
  </r>
  <r>
    <x v="914"/>
    <x v="102"/>
    <x v="2511"/>
  </r>
  <r>
    <x v="914"/>
    <x v="8"/>
    <x v="2512"/>
  </r>
  <r>
    <x v="914"/>
    <x v="10"/>
    <x v="2513"/>
  </r>
  <r>
    <x v="914"/>
    <x v="10"/>
    <x v="2514"/>
  </r>
  <r>
    <x v="915"/>
    <x v="77"/>
    <x v="2515"/>
  </r>
  <r>
    <x v="915"/>
    <x v="10"/>
    <x v="2516"/>
  </r>
  <r>
    <x v="915"/>
    <x v="10"/>
    <x v="2517"/>
  </r>
  <r>
    <x v="915"/>
    <x v="10"/>
    <x v="2518"/>
  </r>
  <r>
    <x v="915"/>
    <x v="10"/>
    <x v="2519"/>
  </r>
  <r>
    <x v="916"/>
    <x v="8"/>
    <x v="2520"/>
  </r>
  <r>
    <x v="916"/>
    <x v="102"/>
    <x v="2521"/>
  </r>
  <r>
    <x v="916"/>
    <x v="10"/>
    <x v="2186"/>
  </r>
  <r>
    <x v="916"/>
    <x v="10"/>
    <x v="2522"/>
  </r>
  <r>
    <x v="917"/>
    <x v="10"/>
    <x v="2523"/>
  </r>
  <r>
    <x v="917"/>
    <x v="10"/>
    <x v="2524"/>
  </r>
  <r>
    <x v="918"/>
    <x v="102"/>
    <x v="2525"/>
  </r>
  <r>
    <x v="918"/>
    <x v="8"/>
    <x v="2526"/>
  </r>
  <r>
    <x v="919"/>
    <x v="82"/>
    <x v="2527"/>
  </r>
  <r>
    <x v="919"/>
    <x v="10"/>
    <x v="2528"/>
  </r>
  <r>
    <x v="920"/>
    <x v="82"/>
    <x v="2529"/>
  </r>
  <r>
    <x v="920"/>
    <x v="77"/>
    <x v="2530"/>
  </r>
  <r>
    <x v="920"/>
    <x v="10"/>
    <x v="2531"/>
  </r>
  <r>
    <x v="920"/>
    <x v="10"/>
    <x v="2532"/>
  </r>
  <r>
    <x v="921"/>
    <x v="77"/>
    <x v="2533"/>
  </r>
  <r>
    <x v="921"/>
    <x v="102"/>
    <x v="7"/>
  </r>
  <r>
    <x v="921"/>
    <x v="77"/>
    <x v="2534"/>
  </r>
  <r>
    <x v="921"/>
    <x v="82"/>
    <x v="2535"/>
  </r>
  <r>
    <x v="921"/>
    <x v="77"/>
    <x v="2536"/>
  </r>
  <r>
    <x v="921"/>
    <x v="10"/>
    <x v="2537"/>
  </r>
  <r>
    <x v="921"/>
    <x v="10"/>
    <x v="2538"/>
  </r>
  <r>
    <x v="921"/>
    <x v="10"/>
    <x v="2539"/>
  </r>
  <r>
    <x v="921"/>
    <x v="10"/>
    <x v="2540"/>
  </r>
  <r>
    <x v="921"/>
    <x v="10"/>
    <x v="2541"/>
  </r>
  <r>
    <x v="921"/>
    <x v="10"/>
    <x v="2542"/>
  </r>
  <r>
    <x v="921"/>
    <x v="10"/>
    <x v="2543"/>
  </r>
  <r>
    <x v="921"/>
    <x v="102"/>
    <x v="7"/>
  </r>
  <r>
    <x v="922"/>
    <x v="77"/>
    <x v="2544"/>
  </r>
  <r>
    <x v="922"/>
    <x v="10"/>
    <x v="2545"/>
  </r>
  <r>
    <x v="922"/>
    <x v="10"/>
    <x v="2546"/>
  </r>
  <r>
    <x v="922"/>
    <x v="10"/>
    <x v="2547"/>
  </r>
  <r>
    <x v="922"/>
    <x v="10"/>
    <x v="2548"/>
  </r>
  <r>
    <x v="923"/>
    <x v="77"/>
    <x v="2549"/>
  </r>
  <r>
    <x v="923"/>
    <x v="10"/>
    <x v="2550"/>
  </r>
  <r>
    <x v="924"/>
    <x v="77"/>
    <x v="2551"/>
  </r>
  <r>
    <x v="924"/>
    <x v="60"/>
    <x v="7"/>
  </r>
  <r>
    <x v="924"/>
    <x v="10"/>
    <x v="2552"/>
  </r>
  <r>
    <x v="924"/>
    <x v="10"/>
    <x v="2553"/>
  </r>
  <r>
    <x v="924"/>
    <x v="10"/>
    <x v="2554"/>
  </r>
  <r>
    <x v="924"/>
    <x v="10"/>
    <x v="2555"/>
  </r>
  <r>
    <x v="924"/>
    <x v="10"/>
    <x v="2527"/>
  </r>
  <r>
    <x v="924"/>
    <x v="10"/>
    <x v="2556"/>
  </r>
  <r>
    <x v="924"/>
    <x v="10"/>
    <x v="2557"/>
  </r>
  <r>
    <x v="924"/>
    <x v="60"/>
    <x v="7"/>
  </r>
  <r>
    <x v="925"/>
    <x v="60"/>
    <x v="2558"/>
  </r>
  <r>
    <x v="925"/>
    <x v="82"/>
    <x v="2559"/>
  </r>
  <r>
    <x v="925"/>
    <x v="10"/>
    <x v="2560"/>
  </r>
  <r>
    <x v="925"/>
    <x v="10"/>
    <x v="2561"/>
  </r>
  <r>
    <x v="925"/>
    <x v="10"/>
    <x v="2562"/>
  </r>
  <r>
    <x v="925"/>
    <x v="10"/>
    <x v="2563"/>
  </r>
  <r>
    <x v="925"/>
    <x v="10"/>
    <x v="2500"/>
  </r>
  <r>
    <x v="925"/>
    <x v="10"/>
    <x v="2564"/>
  </r>
  <r>
    <x v="926"/>
    <x v="82"/>
    <x v="2471"/>
  </r>
  <r>
    <x v="927"/>
    <x v="60"/>
    <x v="2565"/>
  </r>
  <r>
    <x v="927"/>
    <x v="60"/>
    <x v="2566"/>
  </r>
  <r>
    <x v="927"/>
    <x v="10"/>
    <x v="2567"/>
  </r>
  <r>
    <x v="927"/>
    <x v="10"/>
    <x v="2568"/>
  </r>
  <r>
    <x v="927"/>
    <x v="10"/>
    <x v="2569"/>
  </r>
  <r>
    <x v="927"/>
    <x v="10"/>
    <x v="2570"/>
  </r>
  <r>
    <x v="927"/>
    <x v="10"/>
    <x v="2571"/>
  </r>
  <r>
    <x v="928"/>
    <x v="10"/>
    <x v="2572"/>
  </r>
  <r>
    <x v="928"/>
    <x v="10"/>
    <x v="2573"/>
  </r>
  <r>
    <x v="929"/>
    <x v="10"/>
    <x v="2574"/>
  </r>
  <r>
    <x v="930"/>
    <x v="82"/>
    <x v="2575"/>
  </r>
  <r>
    <x v="930"/>
    <x v="82"/>
    <x v="2576"/>
  </r>
  <r>
    <x v="930"/>
    <x v="10"/>
    <x v="2577"/>
  </r>
  <r>
    <x v="930"/>
    <x v="10"/>
    <x v="2578"/>
  </r>
  <r>
    <x v="930"/>
    <x v="10"/>
    <x v="2579"/>
  </r>
  <r>
    <x v="930"/>
    <x v="10"/>
    <x v="2580"/>
  </r>
  <r>
    <x v="930"/>
    <x v="10"/>
    <x v="2581"/>
  </r>
  <r>
    <x v="931"/>
    <x v="1"/>
    <x v="2582"/>
  </r>
  <r>
    <x v="931"/>
    <x v="10"/>
    <x v="428"/>
  </r>
  <r>
    <x v="931"/>
    <x v="10"/>
    <x v="1904"/>
  </r>
  <r>
    <x v="932"/>
    <x v="60"/>
    <x v="2583"/>
  </r>
  <r>
    <x v="932"/>
    <x v="10"/>
    <x v="2584"/>
  </r>
  <r>
    <x v="932"/>
    <x v="10"/>
    <x v="428"/>
  </r>
  <r>
    <x v="933"/>
    <x v="7"/>
    <x v="2585"/>
  </r>
  <r>
    <x v="934"/>
    <x v="60"/>
    <x v="2586"/>
  </r>
  <r>
    <x v="934"/>
    <x v="10"/>
    <x v="2587"/>
  </r>
  <r>
    <x v="934"/>
    <x v="10"/>
    <x v="2588"/>
  </r>
  <r>
    <x v="934"/>
    <x v="10"/>
    <x v="2589"/>
  </r>
  <r>
    <x v="934"/>
    <x v="10"/>
    <x v="2590"/>
  </r>
  <r>
    <x v="935"/>
    <x v="0"/>
    <x v="2369"/>
  </r>
  <r>
    <x v="936"/>
    <x v="7"/>
    <x v="2591"/>
  </r>
  <r>
    <x v="936"/>
    <x v="0"/>
    <x v="2369"/>
  </r>
  <r>
    <x v="937"/>
    <x v="0"/>
    <x v="2592"/>
  </r>
  <r>
    <x v="938"/>
    <x v="1"/>
    <x v="2593"/>
  </r>
  <r>
    <x v="938"/>
    <x v="10"/>
    <x v="428"/>
  </r>
  <r>
    <x v="939"/>
    <x v="0"/>
    <x v="2369"/>
  </r>
  <r>
    <x v="940"/>
    <x v="0"/>
    <x v="2594"/>
  </r>
  <r>
    <x v="941"/>
    <x v="7"/>
    <x v="2595"/>
  </r>
  <r>
    <x v="941"/>
    <x v="0"/>
    <x v="2369"/>
  </r>
  <r>
    <x v="942"/>
    <x v="82"/>
    <x v="2596"/>
  </r>
  <r>
    <x v="942"/>
    <x v="10"/>
    <x v="2597"/>
  </r>
  <r>
    <x v="943"/>
    <x v="0"/>
    <x v="2592"/>
  </r>
  <r>
    <x v="944"/>
    <x v="10"/>
    <x v="1542"/>
  </r>
  <r>
    <x v="944"/>
    <x v="1"/>
    <x v="2598"/>
  </r>
  <r>
    <x v="944"/>
    <x v="10"/>
    <x v="428"/>
  </r>
  <r>
    <x v="944"/>
    <x v="10"/>
    <x v="2599"/>
  </r>
  <r>
    <x v="945"/>
    <x v="0"/>
    <x v="2592"/>
  </r>
  <r>
    <x v="946"/>
    <x v="10"/>
    <x v="14"/>
  </r>
  <r>
    <x v="946"/>
    <x v="10"/>
    <x v="2600"/>
  </r>
  <r>
    <x v="946"/>
    <x v="10"/>
    <x v="2601"/>
  </r>
  <r>
    <x v="947"/>
    <x v="0"/>
    <x v="2592"/>
  </r>
  <r>
    <x v="948"/>
    <x v="1"/>
    <x v="2602"/>
  </r>
  <r>
    <x v="949"/>
    <x v="7"/>
    <x v="2603"/>
  </r>
  <r>
    <x v="949"/>
    <x v="0"/>
    <x v="2604"/>
  </r>
  <r>
    <x v="950"/>
    <x v="0"/>
    <x v="2592"/>
  </r>
  <r>
    <x v="951"/>
    <x v="0"/>
    <x v="2592"/>
  </r>
  <r>
    <x v="952"/>
    <x v="0"/>
    <x v="2594"/>
  </r>
  <r>
    <x v="953"/>
    <x v="0"/>
    <x v="2594"/>
  </r>
  <r>
    <x v="954"/>
    <x v="0"/>
    <x v="2605"/>
  </r>
  <r>
    <x v="955"/>
    <x v="0"/>
    <x v="2594"/>
  </r>
  <r>
    <x v="956"/>
    <x v="0"/>
    <x v="2594"/>
  </r>
  <r>
    <x v="957"/>
    <x v="0"/>
    <x v="2594"/>
  </r>
  <r>
    <x v="958"/>
    <x v="0"/>
    <x v="2594"/>
  </r>
  <r>
    <x v="959"/>
    <x v="0"/>
    <x v="2461"/>
  </r>
  <r>
    <x v="960"/>
    <x v="0"/>
    <x v="2594"/>
  </r>
  <r>
    <x v="961"/>
    <x v="0"/>
    <x v="2594"/>
  </r>
  <r>
    <x v="962"/>
    <x v="0"/>
    <x v="2606"/>
  </r>
  <r>
    <x v="963"/>
    <x v="10"/>
    <x v="2607"/>
  </r>
  <r>
    <x v="963"/>
    <x v="82"/>
    <x v="2608"/>
  </r>
  <r>
    <x v="963"/>
    <x v="10"/>
    <x v="2609"/>
  </r>
  <r>
    <x v="963"/>
    <x v="103"/>
    <x v="2610"/>
  </r>
  <r>
    <x v="964"/>
    <x v="0"/>
    <x v="2594"/>
  </r>
  <r>
    <x v="965"/>
    <x v="0"/>
    <x v="2594"/>
  </r>
  <r>
    <x v="966"/>
    <x v="103"/>
    <x v="7"/>
  </r>
  <r>
    <x v="967"/>
    <x v="0"/>
    <x v="2594"/>
  </r>
  <r>
    <x v="968"/>
    <x v="10"/>
    <x v="2611"/>
  </r>
  <r>
    <x v="968"/>
    <x v="10"/>
    <x v="2612"/>
  </r>
  <r>
    <x v="968"/>
    <x v="10"/>
    <x v="2613"/>
  </r>
  <r>
    <x v="968"/>
    <x v="10"/>
    <x v="2614"/>
  </r>
  <r>
    <x v="968"/>
    <x v="10"/>
    <x v="2615"/>
  </r>
  <r>
    <x v="969"/>
    <x v="0"/>
    <x v="2605"/>
  </r>
  <r>
    <x v="970"/>
    <x v="0"/>
    <x v="2594"/>
  </r>
  <r>
    <x v="971"/>
    <x v="0"/>
    <x v="2594"/>
  </r>
  <r>
    <x v="972"/>
    <x v="104"/>
    <x v="2616"/>
  </r>
  <r>
    <x v="972"/>
    <x v="10"/>
    <x v="2617"/>
  </r>
  <r>
    <x v="973"/>
    <x v="0"/>
    <x v="2594"/>
  </r>
  <r>
    <x v="974"/>
    <x v="0"/>
    <x v="2594"/>
  </r>
  <r>
    <x v="975"/>
    <x v="0"/>
    <x v="2605"/>
  </r>
  <r>
    <x v="976"/>
    <x v="0"/>
    <x v="2594"/>
  </r>
  <r>
    <x v="977"/>
    <x v="10"/>
    <x v="2618"/>
  </r>
  <r>
    <x v="977"/>
    <x v="103"/>
    <x v="2619"/>
  </r>
  <r>
    <x v="978"/>
    <x v="0"/>
    <x v="2594"/>
  </r>
  <r>
    <x v="979"/>
    <x v="10"/>
    <x v="2620"/>
  </r>
  <r>
    <x v="979"/>
    <x v="10"/>
    <x v="2621"/>
  </r>
  <r>
    <x v="979"/>
    <x v="10"/>
    <x v="2622"/>
  </r>
  <r>
    <x v="980"/>
    <x v="0"/>
    <x v="23"/>
  </r>
  <r>
    <x v="981"/>
    <x v="0"/>
    <x v="2594"/>
  </r>
  <r>
    <x v="982"/>
    <x v="0"/>
    <x v="2594"/>
  </r>
  <r>
    <x v="983"/>
    <x v="0"/>
    <x v="2605"/>
  </r>
  <r>
    <x v="984"/>
    <x v="82"/>
    <x v="2623"/>
  </r>
  <r>
    <x v="984"/>
    <x v="10"/>
    <x v="2624"/>
  </r>
  <r>
    <x v="985"/>
    <x v="0"/>
    <x v="2594"/>
  </r>
  <r>
    <x v="986"/>
    <x v="0"/>
    <x v="2594"/>
  </r>
  <r>
    <x v="987"/>
    <x v="65"/>
    <x v="2625"/>
  </r>
  <r>
    <x v="987"/>
    <x v="10"/>
    <x v="1201"/>
  </r>
  <r>
    <x v="988"/>
    <x v="0"/>
    <x v="2594"/>
  </r>
  <r>
    <x v="989"/>
    <x v="0"/>
    <x v="2594"/>
  </r>
  <r>
    <x v="990"/>
    <x v="0"/>
    <x v="2605"/>
  </r>
  <r>
    <x v="991"/>
    <x v="0"/>
    <x v="2594"/>
  </r>
  <r>
    <x v="992"/>
    <x v="104"/>
    <x v="2626"/>
  </r>
  <r>
    <x v="992"/>
    <x v="10"/>
    <x v="2627"/>
  </r>
  <r>
    <x v="992"/>
    <x v="10"/>
    <x v="2628"/>
  </r>
  <r>
    <x v="992"/>
    <x v="10"/>
    <x v="2629"/>
  </r>
  <r>
    <x v="992"/>
    <x v="10"/>
    <x v="2549"/>
  </r>
  <r>
    <x v="992"/>
    <x v="10"/>
    <x v="2630"/>
  </r>
  <r>
    <x v="992"/>
    <x v="10"/>
    <x v="2631"/>
  </r>
  <r>
    <x v="992"/>
    <x v="10"/>
    <x v="2632"/>
  </r>
  <r>
    <x v="992"/>
    <x v="10"/>
    <x v="2633"/>
  </r>
  <r>
    <x v="992"/>
    <x v="10"/>
    <x v="2634"/>
  </r>
  <r>
    <x v="992"/>
    <x v="10"/>
    <x v="2635"/>
  </r>
  <r>
    <x v="992"/>
    <x v="10"/>
    <x v="2636"/>
  </r>
  <r>
    <x v="992"/>
    <x v="10"/>
    <x v="2637"/>
  </r>
  <r>
    <x v="992"/>
    <x v="10"/>
    <x v="2638"/>
  </r>
  <r>
    <x v="992"/>
    <x v="90"/>
    <x v="2639"/>
  </r>
  <r>
    <x v="992"/>
    <x v="65"/>
    <x v="2640"/>
  </r>
  <r>
    <x v="992"/>
    <x v="1"/>
    <x v="2641"/>
  </r>
  <r>
    <x v="993"/>
    <x v="0"/>
    <x v="2594"/>
  </r>
  <r>
    <x v="994"/>
    <x v="1"/>
    <x v="1409"/>
  </r>
  <r>
    <x v="995"/>
    <x v="0"/>
    <x v="2594"/>
  </r>
  <r>
    <x v="996"/>
    <x v="1"/>
    <x v="1409"/>
  </r>
  <r>
    <x v="997"/>
    <x v="0"/>
    <x v="2594"/>
  </r>
  <r>
    <x v="998"/>
    <x v="1"/>
    <x v="1409"/>
  </r>
  <r>
    <x v="999"/>
    <x v="0"/>
    <x v="2604"/>
  </r>
  <r>
    <x v="1000"/>
    <x v="1"/>
    <x v="2642"/>
  </r>
  <r>
    <x v="1001"/>
    <x v="0"/>
    <x v="2592"/>
  </r>
  <r>
    <x v="1002"/>
    <x v="1"/>
    <x v="2643"/>
  </r>
  <r>
    <x v="1003"/>
    <x v="0"/>
    <x v="2594"/>
  </r>
  <r>
    <x v="1004"/>
    <x v="104"/>
    <x v="2644"/>
  </r>
  <r>
    <x v="1004"/>
    <x v="10"/>
    <x v="2645"/>
  </r>
  <r>
    <x v="1004"/>
    <x v="65"/>
    <x v="2646"/>
  </r>
  <r>
    <x v="1004"/>
    <x v="1"/>
    <x v="2647"/>
  </r>
  <r>
    <x v="1005"/>
    <x v="0"/>
    <x v="2594"/>
  </r>
  <r>
    <x v="1006"/>
    <x v="65"/>
    <x v="2648"/>
  </r>
  <r>
    <x v="1006"/>
    <x v="10"/>
    <x v="73"/>
  </r>
  <r>
    <x v="1007"/>
    <x v="0"/>
    <x v="2594"/>
  </r>
  <r>
    <x v="1008"/>
    <x v="65"/>
    <x v="2649"/>
  </r>
  <r>
    <x v="1008"/>
    <x v="1"/>
    <x v="2650"/>
  </r>
  <r>
    <x v="1009"/>
    <x v="0"/>
    <x v="2605"/>
  </r>
  <r>
    <x v="1010"/>
    <x v="1"/>
    <x v="2651"/>
  </r>
  <r>
    <x v="1011"/>
    <x v="0"/>
    <x v="2592"/>
  </r>
  <r>
    <x v="1012"/>
    <x v="104"/>
    <x v="2652"/>
  </r>
  <r>
    <x v="1012"/>
    <x v="10"/>
    <x v="2653"/>
  </r>
  <r>
    <x v="1012"/>
    <x v="10"/>
    <x v="2654"/>
  </r>
  <r>
    <x v="1012"/>
    <x v="1"/>
    <x v="2643"/>
  </r>
  <r>
    <x v="1013"/>
    <x v="0"/>
    <x v="2592"/>
  </r>
  <r>
    <x v="1014"/>
    <x v="82"/>
    <x v="2655"/>
  </r>
  <r>
    <x v="1014"/>
    <x v="105"/>
    <x v="2656"/>
  </r>
  <r>
    <x v="1014"/>
    <x v="104"/>
    <x v="2657"/>
  </r>
  <r>
    <x v="1014"/>
    <x v="10"/>
    <x v="2658"/>
  </r>
  <r>
    <x v="1014"/>
    <x v="105"/>
    <x v="7"/>
  </r>
  <r>
    <x v="1014"/>
    <x v="10"/>
    <x v="2659"/>
  </r>
  <r>
    <x v="1014"/>
    <x v="10"/>
    <x v="2660"/>
  </r>
  <r>
    <x v="1014"/>
    <x v="10"/>
    <x v="1089"/>
  </r>
  <r>
    <x v="1014"/>
    <x v="10"/>
    <x v="2661"/>
  </r>
  <r>
    <x v="1014"/>
    <x v="1"/>
    <x v="2643"/>
  </r>
  <r>
    <x v="1015"/>
    <x v="0"/>
    <x v="2594"/>
  </r>
  <r>
    <x v="1016"/>
    <x v="104"/>
    <x v="2662"/>
  </r>
  <r>
    <x v="1016"/>
    <x v="10"/>
    <x v="2663"/>
  </r>
  <r>
    <x v="1016"/>
    <x v="10"/>
    <x v="2664"/>
  </r>
  <r>
    <x v="1016"/>
    <x v="10"/>
    <x v="2665"/>
  </r>
  <r>
    <x v="1016"/>
    <x v="10"/>
    <x v="2666"/>
  </r>
  <r>
    <x v="1016"/>
    <x v="10"/>
    <x v="2667"/>
  </r>
  <r>
    <x v="1016"/>
    <x v="1"/>
    <x v="1409"/>
  </r>
  <r>
    <x v="1017"/>
    <x v="0"/>
    <x v="2594"/>
  </r>
  <r>
    <x v="1018"/>
    <x v="82"/>
    <x v="2668"/>
  </r>
  <r>
    <x v="1018"/>
    <x v="105"/>
    <x v="2669"/>
  </r>
  <r>
    <x v="1018"/>
    <x v="105"/>
    <x v="7"/>
  </r>
  <r>
    <x v="1018"/>
    <x v="10"/>
    <x v="54"/>
  </r>
  <r>
    <x v="1018"/>
    <x v="10"/>
    <x v="2670"/>
  </r>
  <r>
    <x v="1018"/>
    <x v="10"/>
    <x v="2390"/>
  </r>
  <r>
    <x v="1018"/>
    <x v="10"/>
    <x v="2671"/>
  </r>
  <r>
    <x v="1018"/>
    <x v="10"/>
    <x v="2672"/>
  </r>
  <r>
    <x v="1018"/>
    <x v="10"/>
    <x v="2673"/>
  </r>
  <r>
    <x v="1018"/>
    <x v="1"/>
    <x v="1409"/>
  </r>
  <r>
    <x v="1019"/>
    <x v="0"/>
    <x v="2605"/>
  </r>
  <r>
    <x v="1020"/>
    <x v="102"/>
    <x v="2674"/>
  </r>
  <r>
    <x v="1020"/>
    <x v="60"/>
    <x v="2675"/>
  </r>
  <r>
    <x v="1020"/>
    <x v="10"/>
    <x v="2676"/>
  </r>
  <r>
    <x v="1020"/>
    <x v="106"/>
    <x v="2677"/>
  </r>
  <r>
    <x v="1020"/>
    <x v="1"/>
    <x v="2678"/>
  </r>
  <r>
    <x v="1021"/>
    <x v="0"/>
    <x v="2594"/>
  </r>
  <r>
    <x v="1022"/>
    <x v="102"/>
    <x v="2679"/>
  </r>
  <r>
    <x v="1022"/>
    <x v="60"/>
    <x v="2680"/>
  </r>
  <r>
    <x v="1022"/>
    <x v="10"/>
    <x v="2681"/>
  </r>
  <r>
    <x v="1022"/>
    <x v="10"/>
    <x v="2682"/>
  </r>
  <r>
    <x v="1023"/>
    <x v="0"/>
    <x v="2594"/>
  </r>
  <r>
    <x v="1024"/>
    <x v="0"/>
    <x v="2594"/>
  </r>
  <r>
    <x v="1025"/>
    <x v="82"/>
    <x v="2608"/>
  </r>
  <r>
    <x v="1025"/>
    <x v="10"/>
    <x v="2609"/>
  </r>
  <r>
    <x v="1025"/>
    <x v="10"/>
    <x v="2683"/>
  </r>
  <r>
    <x v="1025"/>
    <x v="10"/>
    <x v="1201"/>
  </r>
  <r>
    <x v="1026"/>
    <x v="0"/>
    <x v="2594"/>
  </r>
  <r>
    <x v="1027"/>
    <x v="1"/>
    <x v="2684"/>
  </r>
  <r>
    <x v="1028"/>
    <x v="0"/>
    <x v="2"/>
  </r>
  <r>
    <x v="1029"/>
    <x v="104"/>
    <x v="2685"/>
  </r>
  <r>
    <x v="1029"/>
    <x v="60"/>
    <x v="2686"/>
  </r>
  <r>
    <x v="1029"/>
    <x v="10"/>
    <x v="2687"/>
  </r>
  <r>
    <x v="1029"/>
    <x v="10"/>
    <x v="2688"/>
  </r>
  <r>
    <x v="1029"/>
    <x v="10"/>
    <x v="2689"/>
  </r>
  <r>
    <x v="1029"/>
    <x v="10"/>
    <x v="2690"/>
  </r>
  <r>
    <x v="1029"/>
    <x v="10"/>
    <x v="2691"/>
  </r>
  <r>
    <x v="1029"/>
    <x v="1"/>
    <x v="3"/>
  </r>
  <r>
    <x v="1030"/>
    <x v="7"/>
    <x v="2692"/>
  </r>
  <r>
    <x v="1030"/>
    <x v="0"/>
    <x v="2592"/>
  </r>
  <r>
    <x v="1031"/>
    <x v="60"/>
    <x v="2693"/>
  </r>
  <r>
    <x v="1031"/>
    <x v="104"/>
    <x v="2694"/>
  </r>
  <r>
    <x v="1031"/>
    <x v="10"/>
    <x v="2695"/>
  </r>
  <r>
    <x v="1031"/>
    <x v="10"/>
    <x v="605"/>
  </r>
  <r>
    <x v="1031"/>
    <x v="10"/>
    <x v="2696"/>
  </r>
  <r>
    <x v="1031"/>
    <x v="10"/>
    <x v="2697"/>
  </r>
  <r>
    <x v="1031"/>
    <x v="10"/>
    <x v="2698"/>
  </r>
  <r>
    <x v="1031"/>
    <x v="1"/>
    <x v="2643"/>
  </r>
  <r>
    <x v="1032"/>
    <x v="0"/>
    <x v="2594"/>
  </r>
  <r>
    <x v="1033"/>
    <x v="10"/>
    <x v="2699"/>
  </r>
  <r>
    <x v="1033"/>
    <x v="104"/>
    <x v="2700"/>
  </r>
  <r>
    <x v="1033"/>
    <x v="10"/>
    <x v="2412"/>
  </r>
  <r>
    <x v="1033"/>
    <x v="10"/>
    <x v="2701"/>
  </r>
  <r>
    <x v="1033"/>
    <x v="10"/>
    <x v="2702"/>
  </r>
  <r>
    <x v="1033"/>
    <x v="10"/>
    <x v="2623"/>
  </r>
  <r>
    <x v="1033"/>
    <x v="10"/>
    <x v="2703"/>
  </r>
  <r>
    <x v="1033"/>
    <x v="10"/>
    <x v="2704"/>
  </r>
  <r>
    <x v="1033"/>
    <x v="72"/>
    <x v="2705"/>
  </r>
  <r>
    <x v="1033"/>
    <x v="1"/>
    <x v="2706"/>
  </r>
  <r>
    <x v="1033"/>
    <x v="10"/>
    <x v="2707"/>
  </r>
  <r>
    <x v="1034"/>
    <x v="0"/>
    <x v="2594"/>
  </r>
  <r>
    <x v="1035"/>
    <x v="10"/>
    <x v="2708"/>
  </r>
  <r>
    <x v="1035"/>
    <x v="104"/>
    <x v="2709"/>
  </r>
  <r>
    <x v="1035"/>
    <x v="10"/>
    <x v="2710"/>
  </r>
  <r>
    <x v="1035"/>
    <x v="10"/>
    <x v="2711"/>
  </r>
  <r>
    <x v="1035"/>
    <x v="10"/>
    <x v="2712"/>
  </r>
  <r>
    <x v="1035"/>
    <x v="10"/>
    <x v="2713"/>
  </r>
  <r>
    <x v="1035"/>
    <x v="31"/>
    <x v="2714"/>
  </r>
  <r>
    <x v="1035"/>
    <x v="1"/>
    <x v="2715"/>
  </r>
  <r>
    <x v="1035"/>
    <x v="10"/>
    <x v="51"/>
  </r>
  <r>
    <x v="1036"/>
    <x v="0"/>
    <x v="2594"/>
  </r>
  <r>
    <x v="1037"/>
    <x v="82"/>
    <x v="2716"/>
  </r>
  <r>
    <x v="1037"/>
    <x v="10"/>
    <x v="2711"/>
  </r>
  <r>
    <x v="1037"/>
    <x v="10"/>
    <x v="2717"/>
  </r>
  <r>
    <x v="1037"/>
    <x v="10"/>
    <x v="2718"/>
  </r>
  <r>
    <x v="1037"/>
    <x v="10"/>
    <x v="2719"/>
  </r>
  <r>
    <x v="1037"/>
    <x v="31"/>
    <x v="2720"/>
  </r>
  <r>
    <x v="1037"/>
    <x v="106"/>
    <x v="2721"/>
  </r>
  <r>
    <x v="1037"/>
    <x v="1"/>
    <x v="2722"/>
  </r>
  <r>
    <x v="1038"/>
    <x v="0"/>
    <x v="2605"/>
  </r>
  <r>
    <x v="1039"/>
    <x v="104"/>
    <x v="2723"/>
  </r>
  <r>
    <x v="1039"/>
    <x v="40"/>
    <x v="2724"/>
  </r>
  <r>
    <x v="1039"/>
    <x v="40"/>
    <x v="7"/>
  </r>
  <r>
    <x v="1039"/>
    <x v="10"/>
    <x v="2725"/>
  </r>
  <r>
    <x v="1039"/>
    <x v="10"/>
    <x v="2726"/>
  </r>
  <r>
    <x v="1039"/>
    <x v="10"/>
    <x v="2727"/>
  </r>
  <r>
    <x v="1039"/>
    <x v="10"/>
    <x v="2728"/>
  </r>
  <r>
    <x v="1039"/>
    <x v="1"/>
    <x v="2651"/>
  </r>
  <r>
    <x v="1039"/>
    <x v="1"/>
    <x v="2729"/>
  </r>
  <r>
    <x v="1040"/>
    <x v="7"/>
    <x v="2730"/>
  </r>
  <r>
    <x v="1040"/>
    <x v="0"/>
    <x v="2594"/>
  </r>
  <r>
    <x v="1041"/>
    <x v="104"/>
    <x v="2709"/>
  </r>
  <r>
    <x v="1041"/>
    <x v="10"/>
    <x v="2710"/>
  </r>
  <r>
    <x v="1041"/>
    <x v="1"/>
    <x v="2731"/>
  </r>
  <r>
    <x v="1042"/>
    <x v="0"/>
    <x v="2594"/>
  </r>
  <r>
    <x v="1043"/>
    <x v="1"/>
    <x v="2732"/>
  </r>
  <r>
    <x v="1044"/>
    <x v="0"/>
    <x v="2606"/>
  </r>
  <r>
    <x v="1045"/>
    <x v="60"/>
    <x v="2733"/>
  </r>
  <r>
    <x v="1045"/>
    <x v="40"/>
    <x v="2734"/>
  </r>
  <r>
    <x v="1045"/>
    <x v="104"/>
    <x v="2735"/>
  </r>
  <r>
    <x v="1045"/>
    <x v="40"/>
    <x v="7"/>
  </r>
  <r>
    <x v="1045"/>
    <x v="10"/>
    <x v="2736"/>
  </r>
  <r>
    <x v="1045"/>
    <x v="10"/>
    <x v="2737"/>
  </r>
  <r>
    <x v="1045"/>
    <x v="10"/>
    <x v="2738"/>
  </r>
  <r>
    <x v="1045"/>
    <x v="10"/>
    <x v="2739"/>
  </r>
  <r>
    <x v="1046"/>
    <x v="0"/>
    <x v="2594"/>
  </r>
  <r>
    <x v="1047"/>
    <x v="1"/>
    <x v="2740"/>
  </r>
  <r>
    <x v="1048"/>
    <x v="0"/>
    <x v="2604"/>
  </r>
  <r>
    <x v="1049"/>
    <x v="105"/>
    <x v="2741"/>
  </r>
  <r>
    <x v="1049"/>
    <x v="82"/>
    <x v="2742"/>
  </r>
  <r>
    <x v="1049"/>
    <x v="105"/>
    <x v="7"/>
  </r>
  <r>
    <x v="1049"/>
    <x v="10"/>
    <x v="2743"/>
  </r>
  <r>
    <x v="1049"/>
    <x v="10"/>
    <x v="2744"/>
  </r>
  <r>
    <x v="1049"/>
    <x v="1"/>
    <x v="2642"/>
  </r>
  <r>
    <x v="1049"/>
    <x v="0"/>
    <x v="2594"/>
  </r>
  <r>
    <x v="1050"/>
    <x v="82"/>
    <x v="2745"/>
  </r>
  <r>
    <x v="1050"/>
    <x v="105"/>
    <x v="2746"/>
  </r>
  <r>
    <x v="1050"/>
    <x v="60"/>
    <x v="2747"/>
  </r>
  <r>
    <x v="1050"/>
    <x v="10"/>
    <x v="2748"/>
  </r>
  <r>
    <x v="1050"/>
    <x v="105"/>
    <x v="7"/>
  </r>
  <r>
    <x v="1050"/>
    <x v="10"/>
    <x v="336"/>
  </r>
  <r>
    <x v="1050"/>
    <x v="1"/>
    <x v="1409"/>
  </r>
  <r>
    <x v="1050"/>
    <x v="0"/>
    <x v="2605"/>
  </r>
  <r>
    <x v="1051"/>
    <x v="60"/>
    <x v="2749"/>
  </r>
  <r>
    <x v="1051"/>
    <x v="10"/>
    <x v="2750"/>
  </r>
  <r>
    <x v="1051"/>
    <x v="10"/>
    <x v="2751"/>
  </r>
  <r>
    <x v="1051"/>
    <x v="10"/>
    <x v="2752"/>
  </r>
  <r>
    <x v="1051"/>
    <x v="10"/>
    <x v="2753"/>
  </r>
  <r>
    <x v="1051"/>
    <x v="1"/>
    <x v="2651"/>
  </r>
  <r>
    <x v="1051"/>
    <x v="0"/>
    <x v="2594"/>
  </r>
  <r>
    <x v="1052"/>
    <x v="60"/>
    <x v="2754"/>
  </r>
  <r>
    <x v="1052"/>
    <x v="24"/>
    <x v="2755"/>
  </r>
  <r>
    <x v="1052"/>
    <x v="10"/>
    <x v="2756"/>
  </r>
  <r>
    <x v="1052"/>
    <x v="1"/>
    <x v="2757"/>
  </r>
  <r>
    <x v="1052"/>
    <x v="0"/>
    <x v="2594"/>
  </r>
  <r>
    <x v="1053"/>
    <x v="0"/>
    <x v="2594"/>
  </r>
  <r>
    <x v="1054"/>
    <x v="7"/>
    <x v="2758"/>
  </r>
  <r>
    <x v="1054"/>
    <x v="0"/>
    <x v="2594"/>
  </r>
  <r>
    <x v="1055"/>
    <x v="24"/>
    <x v="2759"/>
  </r>
  <r>
    <x v="1055"/>
    <x v="10"/>
    <x v="2760"/>
  </r>
  <r>
    <x v="1055"/>
    <x v="10"/>
    <x v="2761"/>
  </r>
  <r>
    <x v="1055"/>
    <x v="10"/>
    <x v="2762"/>
  </r>
  <r>
    <x v="1055"/>
    <x v="10"/>
    <x v="2763"/>
  </r>
  <r>
    <x v="1055"/>
    <x v="0"/>
    <x v="2605"/>
  </r>
  <r>
    <x v="1056"/>
    <x v="0"/>
    <x v="2594"/>
  </r>
  <r>
    <x v="1057"/>
    <x v="0"/>
    <x v="2594"/>
  </r>
  <r>
    <x v="1058"/>
    <x v="24"/>
    <x v="2764"/>
  </r>
  <r>
    <x v="1058"/>
    <x v="10"/>
    <x v="2765"/>
  </r>
  <r>
    <x v="1058"/>
    <x v="33"/>
    <x v="7"/>
  </r>
  <r>
    <x v="1058"/>
    <x v="33"/>
    <x v="7"/>
  </r>
  <r>
    <x v="1058"/>
    <x v="0"/>
    <x v="2594"/>
  </r>
  <r>
    <x v="1059"/>
    <x v="82"/>
    <x v="2766"/>
  </r>
  <r>
    <x v="1059"/>
    <x v="60"/>
    <x v="2767"/>
  </r>
  <r>
    <x v="1059"/>
    <x v="10"/>
    <x v="2768"/>
  </r>
  <r>
    <x v="1059"/>
    <x v="10"/>
    <x v="2769"/>
  </r>
  <r>
    <x v="1059"/>
    <x v="0"/>
    <x v="2594"/>
  </r>
  <r>
    <x v="1060"/>
    <x v="60"/>
    <x v="2770"/>
  </r>
  <r>
    <x v="1060"/>
    <x v="24"/>
    <x v="2771"/>
  </r>
  <r>
    <x v="1060"/>
    <x v="82"/>
    <x v="2772"/>
  </r>
  <r>
    <x v="1060"/>
    <x v="10"/>
    <x v="2736"/>
  </r>
  <r>
    <x v="1060"/>
    <x v="10"/>
    <x v="2773"/>
  </r>
  <r>
    <x v="1060"/>
    <x v="10"/>
    <x v="2774"/>
  </r>
  <r>
    <x v="1060"/>
    <x v="10"/>
    <x v="2685"/>
  </r>
  <r>
    <x v="1060"/>
    <x v="10"/>
    <x v="2775"/>
  </r>
  <r>
    <x v="1060"/>
    <x v="10"/>
    <x v="2776"/>
  </r>
  <r>
    <x v="1060"/>
    <x v="10"/>
    <x v="2777"/>
  </r>
  <r>
    <x v="1060"/>
    <x v="10"/>
    <x v="2778"/>
  </r>
  <r>
    <x v="1060"/>
    <x v="10"/>
    <x v="2779"/>
  </r>
  <r>
    <x v="1060"/>
    <x v="10"/>
    <x v="2780"/>
  </r>
  <r>
    <x v="1060"/>
    <x v="10"/>
    <x v="2781"/>
  </r>
  <r>
    <x v="1060"/>
    <x v="10"/>
    <x v="2782"/>
  </r>
  <r>
    <x v="1060"/>
    <x v="10"/>
    <x v="2783"/>
  </r>
  <r>
    <x v="1060"/>
    <x v="10"/>
    <x v="2784"/>
  </r>
  <r>
    <x v="1060"/>
    <x v="10"/>
    <x v="2785"/>
  </r>
  <r>
    <x v="1060"/>
    <x v="10"/>
    <x v="2786"/>
  </r>
  <r>
    <x v="1060"/>
    <x v="10"/>
    <x v="2787"/>
  </r>
  <r>
    <x v="1060"/>
    <x v="10"/>
    <x v="2788"/>
  </r>
  <r>
    <x v="1060"/>
    <x v="10"/>
    <x v="2789"/>
  </r>
  <r>
    <x v="1060"/>
    <x v="10"/>
    <x v="2790"/>
  </r>
  <r>
    <x v="1060"/>
    <x v="10"/>
    <x v="2791"/>
  </r>
  <r>
    <x v="1060"/>
    <x v="0"/>
    <x v="2605"/>
  </r>
  <r>
    <x v="1061"/>
    <x v="82"/>
    <x v="2792"/>
  </r>
  <r>
    <x v="1061"/>
    <x v="60"/>
    <x v="2754"/>
  </r>
  <r>
    <x v="1061"/>
    <x v="0"/>
    <x v="2594"/>
  </r>
  <r>
    <x v="1062"/>
    <x v="0"/>
    <x v="2594"/>
  </r>
  <r>
    <x v="1063"/>
    <x v="0"/>
    <x v="2594"/>
  </r>
  <r>
    <x v="1064"/>
    <x v="82"/>
    <x v="2793"/>
  </r>
  <r>
    <x v="1064"/>
    <x v="60"/>
    <x v="2794"/>
  </r>
  <r>
    <x v="1064"/>
    <x v="10"/>
    <x v="2795"/>
  </r>
  <r>
    <x v="1064"/>
    <x v="10"/>
    <x v="2796"/>
  </r>
  <r>
    <x v="1064"/>
    <x v="1"/>
    <x v="2797"/>
  </r>
  <r>
    <x v="1064"/>
    <x v="31"/>
    <x v="2798"/>
  </r>
  <r>
    <x v="1064"/>
    <x v="0"/>
    <x v="2594"/>
  </r>
  <r>
    <x v="1065"/>
    <x v="1"/>
    <x v="2799"/>
  </r>
  <r>
    <x v="1065"/>
    <x v="0"/>
    <x v="2605"/>
  </r>
  <r>
    <x v="1066"/>
    <x v="60"/>
    <x v="2800"/>
  </r>
  <r>
    <x v="1066"/>
    <x v="10"/>
    <x v="2801"/>
  </r>
  <r>
    <x v="1066"/>
    <x v="10"/>
    <x v="2802"/>
  </r>
  <r>
    <x v="1066"/>
    <x v="10"/>
    <x v="2803"/>
  </r>
  <r>
    <x v="1066"/>
    <x v="10"/>
    <x v="2801"/>
  </r>
  <r>
    <x v="1066"/>
    <x v="10"/>
    <x v="2804"/>
  </r>
  <r>
    <x v="1066"/>
    <x v="10"/>
    <x v="2805"/>
  </r>
  <r>
    <x v="1066"/>
    <x v="33"/>
    <x v="2806"/>
  </r>
  <r>
    <x v="1066"/>
    <x v="7"/>
    <x v="2807"/>
  </r>
  <r>
    <x v="1066"/>
    <x v="7"/>
    <x v="2808"/>
  </r>
  <r>
    <x v="1066"/>
    <x v="0"/>
    <x v="2594"/>
  </r>
  <r>
    <x v="1067"/>
    <x v="60"/>
    <x v="2754"/>
  </r>
  <r>
    <x v="1067"/>
    <x v="1"/>
    <x v="2809"/>
  </r>
  <r>
    <x v="1067"/>
    <x v="0"/>
    <x v="2594"/>
  </r>
  <r>
    <x v="1068"/>
    <x v="1"/>
    <x v="1409"/>
  </r>
  <r>
    <x v="1068"/>
    <x v="0"/>
    <x v="2594"/>
  </r>
  <r>
    <x v="1069"/>
    <x v="1"/>
    <x v="1409"/>
  </r>
  <r>
    <x v="1069"/>
    <x v="0"/>
    <x v="2594"/>
  </r>
  <r>
    <x v="1070"/>
    <x v="1"/>
    <x v="1409"/>
  </r>
  <r>
    <x v="1070"/>
    <x v="0"/>
    <x v="2605"/>
  </r>
  <r>
    <x v="1071"/>
    <x v="1"/>
    <x v="2651"/>
  </r>
  <r>
    <x v="1071"/>
    <x v="0"/>
    <x v="2594"/>
  </r>
  <r>
    <x v="1072"/>
    <x v="1"/>
    <x v="1409"/>
  </r>
  <r>
    <x v="1072"/>
    <x v="0"/>
    <x v="2594"/>
  </r>
  <r>
    <x v="1073"/>
    <x v="1"/>
    <x v="1409"/>
  </r>
  <r>
    <x v="1073"/>
    <x v="0"/>
    <x v="2594"/>
  </r>
  <r>
    <x v="1074"/>
    <x v="1"/>
    <x v="1409"/>
  </r>
  <r>
    <x v="1074"/>
    <x v="0"/>
    <x v="2594"/>
  </r>
  <r>
    <x v="1075"/>
    <x v="1"/>
    <x v="1409"/>
  </r>
  <r>
    <x v="1075"/>
    <x v="0"/>
    <x v="2605"/>
  </r>
  <r>
    <x v="1076"/>
    <x v="1"/>
    <x v="2651"/>
  </r>
  <r>
    <x v="1076"/>
    <x v="0"/>
    <x v="2594"/>
  </r>
  <r>
    <x v="1077"/>
    <x v="1"/>
    <x v="1409"/>
  </r>
  <r>
    <x v="1077"/>
    <x v="0"/>
    <x v="2594"/>
  </r>
  <r>
    <x v="1078"/>
    <x v="1"/>
    <x v="1409"/>
  </r>
  <r>
    <x v="1078"/>
    <x v="0"/>
    <x v="2594"/>
  </r>
  <r>
    <x v="1079"/>
    <x v="1"/>
    <x v="1409"/>
  </r>
  <r>
    <x v="1079"/>
    <x v="0"/>
    <x v="2594"/>
  </r>
  <r>
    <x v="1080"/>
    <x v="1"/>
    <x v="1409"/>
  </r>
  <r>
    <x v="1080"/>
    <x v="0"/>
    <x v="2605"/>
  </r>
  <r>
    <x v="1081"/>
    <x v="1"/>
    <x v="2651"/>
  </r>
  <r>
    <x v="1081"/>
    <x v="0"/>
    <x v="13"/>
  </r>
  <r>
    <x v="1082"/>
    <x v="1"/>
    <x v="14"/>
  </r>
  <r>
    <x v="1082"/>
    <x v="0"/>
    <x v="2594"/>
  </r>
  <r>
    <x v="1083"/>
    <x v="82"/>
    <x v="2810"/>
  </r>
  <r>
    <x v="1083"/>
    <x v="10"/>
    <x v="2811"/>
  </r>
  <r>
    <x v="1083"/>
    <x v="10"/>
    <x v="2812"/>
  </r>
  <r>
    <x v="1083"/>
    <x v="10"/>
    <x v="2812"/>
  </r>
  <r>
    <x v="1083"/>
    <x v="10"/>
    <x v="2813"/>
  </r>
  <r>
    <x v="1083"/>
    <x v="10"/>
    <x v="2814"/>
  </r>
  <r>
    <x v="1083"/>
    <x v="10"/>
    <x v="2815"/>
  </r>
  <r>
    <x v="1083"/>
    <x v="10"/>
    <x v="2816"/>
  </r>
  <r>
    <x v="1083"/>
    <x v="10"/>
    <x v="2817"/>
  </r>
  <r>
    <x v="1083"/>
    <x v="10"/>
    <x v="2818"/>
  </r>
  <r>
    <x v="1083"/>
    <x v="10"/>
    <x v="2819"/>
  </r>
  <r>
    <x v="1083"/>
    <x v="10"/>
    <x v="2820"/>
  </r>
  <r>
    <x v="1083"/>
    <x v="1"/>
    <x v="2821"/>
  </r>
  <r>
    <x v="1083"/>
    <x v="0"/>
    <x v="2594"/>
  </r>
  <r>
    <x v="1084"/>
    <x v="1"/>
    <x v="2822"/>
  </r>
  <r>
    <x v="1084"/>
    <x v="0"/>
    <x v="2594"/>
  </r>
  <r>
    <x v="1085"/>
    <x v="1"/>
    <x v="1409"/>
  </r>
  <r>
    <x v="1085"/>
    <x v="0"/>
    <x v="2605"/>
  </r>
  <r>
    <x v="1086"/>
    <x v="1"/>
    <x v="2823"/>
  </r>
  <r>
    <x v="1086"/>
    <x v="8"/>
    <x v="2824"/>
  </r>
  <r>
    <x v="1086"/>
    <x v="0"/>
    <x v="2594"/>
  </r>
  <r>
    <x v="1087"/>
    <x v="1"/>
    <x v="1409"/>
  </r>
  <r>
    <x v="1087"/>
    <x v="0"/>
    <x v="2594"/>
  </r>
  <r>
    <x v="1088"/>
    <x v="8"/>
    <x v="2825"/>
  </r>
  <r>
    <x v="1088"/>
    <x v="1"/>
    <x v="1409"/>
  </r>
  <r>
    <x v="1088"/>
    <x v="8"/>
    <x v="2826"/>
  </r>
  <r>
    <x v="1088"/>
    <x v="0"/>
    <x v="2594"/>
  </r>
  <r>
    <x v="1089"/>
    <x v="0"/>
    <x v="2594"/>
  </r>
  <r>
    <x v="1090"/>
    <x v="0"/>
    <x v="2605"/>
  </r>
  <r>
    <x v="1091"/>
    <x v="82"/>
    <x v="2827"/>
  </r>
  <r>
    <x v="1091"/>
    <x v="10"/>
    <x v="2828"/>
  </r>
  <r>
    <x v="1091"/>
    <x v="10"/>
    <x v="2828"/>
  </r>
  <r>
    <x v="1091"/>
    <x v="10"/>
    <x v="2829"/>
  </r>
  <r>
    <x v="1091"/>
    <x v="10"/>
    <x v="2830"/>
  </r>
  <r>
    <x v="1091"/>
    <x v="10"/>
    <x v="2831"/>
  </r>
  <r>
    <x v="1091"/>
    <x v="10"/>
    <x v="2832"/>
  </r>
  <r>
    <x v="1091"/>
    <x v="0"/>
    <x v="2594"/>
  </r>
  <r>
    <x v="1092"/>
    <x v="82"/>
    <x v="2792"/>
  </r>
  <r>
    <x v="1092"/>
    <x v="10"/>
    <x v="428"/>
  </r>
  <r>
    <x v="1092"/>
    <x v="1"/>
    <x v="2833"/>
  </r>
  <r>
    <x v="1092"/>
    <x v="0"/>
    <x v="2594"/>
  </r>
  <r>
    <x v="1093"/>
    <x v="0"/>
    <x v="2594"/>
  </r>
  <r>
    <x v="1094"/>
    <x v="10"/>
    <x v="2834"/>
  </r>
  <r>
    <x v="1094"/>
    <x v="10"/>
    <x v="2834"/>
  </r>
  <r>
    <x v="1094"/>
    <x v="10"/>
    <x v="2835"/>
  </r>
  <r>
    <x v="1094"/>
    <x v="10"/>
    <x v="2836"/>
  </r>
  <r>
    <x v="1094"/>
    <x v="7"/>
    <x v="2837"/>
  </r>
  <r>
    <x v="1094"/>
    <x v="0"/>
    <x v="2594"/>
  </r>
  <r>
    <x v="1095"/>
    <x v="82"/>
    <x v="2838"/>
  </r>
  <r>
    <x v="1095"/>
    <x v="10"/>
    <x v="2839"/>
  </r>
  <r>
    <x v="1095"/>
    <x v="0"/>
    <x v="2461"/>
  </r>
  <r>
    <x v="1096"/>
    <x v="60"/>
    <x v="2840"/>
  </r>
  <r>
    <x v="1096"/>
    <x v="10"/>
    <x v="2841"/>
  </r>
  <r>
    <x v="1096"/>
    <x v="0"/>
    <x v="13"/>
  </r>
  <r>
    <x v="1097"/>
    <x v="82"/>
    <x v="2842"/>
  </r>
  <r>
    <x v="1097"/>
    <x v="60"/>
    <x v="2843"/>
  </r>
  <r>
    <x v="1097"/>
    <x v="82"/>
    <x v="2827"/>
  </r>
  <r>
    <x v="1097"/>
    <x v="10"/>
    <x v="2478"/>
  </r>
  <r>
    <x v="1097"/>
    <x v="10"/>
    <x v="2478"/>
  </r>
  <r>
    <x v="1097"/>
    <x v="10"/>
    <x v="193"/>
  </r>
  <r>
    <x v="1097"/>
    <x v="10"/>
    <x v="2844"/>
  </r>
  <r>
    <x v="1097"/>
    <x v="10"/>
    <x v="2845"/>
  </r>
  <r>
    <x v="1097"/>
    <x v="10"/>
    <x v="2846"/>
  </r>
  <r>
    <x v="1097"/>
    <x v="10"/>
    <x v="2847"/>
  </r>
  <r>
    <x v="1097"/>
    <x v="10"/>
    <x v="2848"/>
  </r>
  <r>
    <x v="1097"/>
    <x v="10"/>
    <x v="2766"/>
  </r>
  <r>
    <x v="1097"/>
    <x v="10"/>
    <x v="2849"/>
  </r>
  <r>
    <x v="1097"/>
    <x v="10"/>
    <x v="2850"/>
  </r>
  <r>
    <x v="1097"/>
    <x v="10"/>
    <x v="2851"/>
  </r>
  <r>
    <x v="1097"/>
    <x v="0"/>
    <x v="13"/>
  </r>
  <r>
    <x v="1098"/>
    <x v="60"/>
    <x v="2754"/>
  </r>
  <r>
    <x v="1098"/>
    <x v="82"/>
    <x v="2852"/>
  </r>
  <r>
    <x v="1098"/>
    <x v="0"/>
    <x v="13"/>
  </r>
  <r>
    <x v="1099"/>
    <x v="0"/>
    <x v="13"/>
  </r>
  <r>
    <x v="1100"/>
    <x v="82"/>
    <x v="2838"/>
  </r>
  <r>
    <x v="1100"/>
    <x v="10"/>
    <x v="2839"/>
  </r>
  <r>
    <x v="1100"/>
    <x v="0"/>
    <x v="2461"/>
  </r>
  <r>
    <x v="1101"/>
    <x v="0"/>
    <x v="13"/>
  </r>
  <r>
    <x v="1102"/>
    <x v="0"/>
    <x v="2594"/>
  </r>
  <r>
    <x v="1103"/>
    <x v="0"/>
    <x v="2594"/>
  </r>
  <r>
    <x v="1104"/>
    <x v="10"/>
    <x v="2853"/>
  </r>
  <r>
    <x v="1104"/>
    <x v="82"/>
    <x v="2842"/>
  </r>
  <r>
    <x v="1104"/>
    <x v="10"/>
    <x v="2854"/>
  </r>
  <r>
    <x v="1104"/>
    <x v="10"/>
    <x v="2854"/>
  </r>
  <r>
    <x v="1104"/>
    <x v="10"/>
    <x v="2855"/>
  </r>
  <r>
    <x v="1104"/>
    <x v="10"/>
    <x v="2856"/>
  </r>
  <r>
    <x v="1104"/>
    <x v="10"/>
    <x v="2818"/>
  </r>
  <r>
    <x v="1104"/>
    <x v="10"/>
    <x v="2857"/>
  </r>
  <r>
    <x v="1104"/>
    <x v="10"/>
    <x v="2858"/>
  </r>
  <r>
    <x v="1104"/>
    <x v="10"/>
    <x v="2858"/>
  </r>
  <r>
    <x v="1104"/>
    <x v="10"/>
    <x v="2859"/>
  </r>
  <r>
    <x v="1104"/>
    <x v="10"/>
    <x v="2860"/>
  </r>
  <r>
    <x v="1104"/>
    <x v="10"/>
    <x v="2861"/>
  </r>
  <r>
    <x v="1104"/>
    <x v="10"/>
    <x v="2862"/>
  </r>
  <r>
    <x v="1104"/>
    <x v="10"/>
    <x v="2863"/>
  </r>
  <r>
    <x v="1104"/>
    <x v="10"/>
    <x v="2864"/>
  </r>
  <r>
    <x v="1104"/>
    <x v="10"/>
    <x v="2865"/>
  </r>
  <r>
    <x v="1104"/>
    <x v="0"/>
    <x v="2594"/>
  </r>
  <r>
    <x v="1105"/>
    <x v="82"/>
    <x v="2792"/>
  </r>
  <r>
    <x v="1105"/>
    <x v="0"/>
    <x v="257"/>
  </r>
  <r>
    <x v="1106"/>
    <x v="1"/>
    <x v="2866"/>
  </r>
  <r>
    <x v="1106"/>
    <x v="0"/>
    <x v="2594"/>
  </r>
  <r>
    <x v="1107"/>
    <x v="10"/>
    <x v="32"/>
  </r>
  <r>
    <x v="1107"/>
    <x v="1"/>
    <x v="2867"/>
  </r>
  <r>
    <x v="1107"/>
    <x v="0"/>
    <x v="13"/>
  </r>
  <r>
    <x v="1108"/>
    <x v="0"/>
    <x v="13"/>
  </r>
  <r>
    <x v="1109"/>
    <x v="82"/>
    <x v="2838"/>
  </r>
  <r>
    <x v="1109"/>
    <x v="10"/>
    <x v="2839"/>
  </r>
  <r>
    <x v="1109"/>
    <x v="7"/>
    <x v="2868"/>
  </r>
  <r>
    <x v="1109"/>
    <x v="0"/>
    <x v="2594"/>
  </r>
  <r>
    <x v="1110"/>
    <x v="0"/>
    <x v="2461"/>
  </r>
  <r>
    <x v="1111"/>
    <x v="0"/>
    <x v="13"/>
  </r>
  <r>
    <x v="1112"/>
    <x v="0"/>
    <x v="13"/>
  </r>
  <r>
    <x v="1113"/>
    <x v="0"/>
    <x v="20"/>
  </r>
  <r>
    <x v="1114"/>
    <x v="0"/>
    <x v="257"/>
  </r>
  <r>
    <x v="1115"/>
    <x v="0"/>
    <x v="2594"/>
  </r>
  <r>
    <x v="1116"/>
    <x v="0"/>
    <x v="2594"/>
  </r>
  <r>
    <x v="1116"/>
    <x v="10"/>
    <x v="2869"/>
  </r>
  <r>
    <x v="1116"/>
    <x v="1"/>
    <x v="2870"/>
  </r>
  <r>
    <x v="1117"/>
    <x v="0"/>
    <x v="2594"/>
  </r>
  <r>
    <x v="1118"/>
    <x v="7"/>
    <x v="2871"/>
  </r>
  <r>
    <x v="1118"/>
    <x v="0"/>
    <x v="2594"/>
  </r>
  <r>
    <x v="1119"/>
    <x v="10"/>
    <x v="74"/>
  </r>
  <r>
    <x v="1119"/>
    <x v="82"/>
    <x v="2872"/>
  </r>
  <r>
    <x v="1119"/>
    <x v="0"/>
    <x v="27"/>
  </r>
  <r>
    <x v="1119"/>
    <x v="10"/>
    <x v="2873"/>
  </r>
  <r>
    <x v="1119"/>
    <x v="1"/>
    <x v="2874"/>
  </r>
  <r>
    <x v="1119"/>
    <x v="107"/>
    <x v="2875"/>
  </r>
  <r>
    <x v="1120"/>
    <x v="82"/>
    <x v="2792"/>
  </r>
  <r>
    <x v="1120"/>
    <x v="82"/>
    <x v="2838"/>
  </r>
  <r>
    <x v="1120"/>
    <x v="10"/>
    <x v="2839"/>
  </r>
  <r>
    <x v="1120"/>
    <x v="10"/>
    <x v="2876"/>
  </r>
  <r>
    <x v="1120"/>
    <x v="10"/>
    <x v="2876"/>
  </r>
  <r>
    <x v="1120"/>
    <x v="10"/>
    <x v="2877"/>
  </r>
  <r>
    <x v="1120"/>
    <x v="10"/>
    <x v="2878"/>
  </r>
  <r>
    <x v="1120"/>
    <x v="10"/>
    <x v="2879"/>
  </r>
  <r>
    <x v="1120"/>
    <x v="10"/>
    <x v="2880"/>
  </r>
  <r>
    <x v="1120"/>
    <x v="10"/>
    <x v="2881"/>
  </r>
  <r>
    <x v="1120"/>
    <x v="10"/>
    <x v="2880"/>
  </r>
  <r>
    <x v="1120"/>
    <x v="10"/>
    <x v="2882"/>
  </r>
  <r>
    <x v="1120"/>
    <x v="10"/>
    <x v="2883"/>
  </r>
  <r>
    <x v="1120"/>
    <x v="0"/>
    <x v="13"/>
  </r>
  <r>
    <x v="1120"/>
    <x v="1"/>
    <x v="39"/>
  </r>
  <r>
    <x v="1120"/>
    <x v="107"/>
    <x v="7"/>
  </r>
  <r>
    <x v="1121"/>
    <x v="0"/>
    <x v="13"/>
  </r>
  <r>
    <x v="1121"/>
    <x v="1"/>
    <x v="14"/>
  </r>
  <r>
    <x v="1121"/>
    <x v="107"/>
    <x v="7"/>
  </r>
  <r>
    <x v="1121"/>
    <x v="107"/>
    <x v="7"/>
  </r>
  <r>
    <x v="1122"/>
    <x v="102"/>
    <x v="2884"/>
  </r>
  <r>
    <x v="1122"/>
    <x v="0"/>
    <x v="13"/>
  </r>
  <r>
    <x v="1122"/>
    <x v="1"/>
    <x v="14"/>
  </r>
  <r>
    <x v="1123"/>
    <x v="10"/>
    <x v="2885"/>
  </r>
  <r>
    <x v="1123"/>
    <x v="10"/>
    <x v="2885"/>
  </r>
  <r>
    <x v="1123"/>
    <x v="10"/>
    <x v="2886"/>
  </r>
  <r>
    <x v="1123"/>
    <x v="10"/>
    <x v="2887"/>
  </r>
  <r>
    <x v="1123"/>
    <x v="0"/>
    <x v="13"/>
  </r>
  <r>
    <x v="1123"/>
    <x v="1"/>
    <x v="14"/>
  </r>
  <r>
    <x v="1124"/>
    <x v="1"/>
    <x v="14"/>
  </r>
  <r>
    <x v="1125"/>
    <x v="60"/>
    <x v="2888"/>
  </r>
  <r>
    <x v="1125"/>
    <x v="10"/>
    <x v="2889"/>
  </r>
  <r>
    <x v="1125"/>
    <x v="0"/>
    <x v="2890"/>
  </r>
  <r>
    <x v="1126"/>
    <x v="0"/>
    <x v="13"/>
  </r>
  <r>
    <x v="1126"/>
    <x v="1"/>
    <x v="2891"/>
  </r>
  <r>
    <x v="1127"/>
    <x v="82"/>
    <x v="2793"/>
  </r>
  <r>
    <x v="1127"/>
    <x v="10"/>
    <x v="2795"/>
  </r>
  <r>
    <x v="1127"/>
    <x v="0"/>
    <x v="13"/>
  </r>
  <r>
    <x v="1127"/>
    <x v="1"/>
    <x v="14"/>
  </r>
  <r>
    <x v="1128"/>
    <x v="107"/>
    <x v="2892"/>
  </r>
  <r>
    <x v="1128"/>
    <x v="0"/>
    <x v="13"/>
  </r>
  <r>
    <x v="1128"/>
    <x v="1"/>
    <x v="14"/>
  </r>
  <r>
    <x v="1129"/>
    <x v="0"/>
    <x v="27"/>
  </r>
  <r>
    <x v="1129"/>
    <x v="1"/>
    <x v="14"/>
  </r>
  <r>
    <x v="1130"/>
    <x v="0"/>
    <x v="13"/>
  </r>
  <r>
    <x v="1130"/>
    <x v="1"/>
    <x v="39"/>
  </r>
  <r>
    <x v="1131"/>
    <x v="82"/>
    <x v="2893"/>
  </r>
  <r>
    <x v="1131"/>
    <x v="10"/>
    <x v="2894"/>
  </r>
  <r>
    <x v="1131"/>
    <x v="0"/>
    <x v="13"/>
  </r>
  <r>
    <x v="1131"/>
    <x v="1"/>
    <x v="14"/>
  </r>
  <r>
    <x v="1132"/>
    <x v="0"/>
    <x v="13"/>
  </r>
  <r>
    <x v="1132"/>
    <x v="1"/>
    <x v="14"/>
  </r>
  <r>
    <x v="1133"/>
    <x v="51"/>
    <x v="2895"/>
  </r>
  <r>
    <x v="1133"/>
    <x v="0"/>
    <x v="13"/>
  </r>
  <r>
    <x v="1133"/>
    <x v="1"/>
    <x v="14"/>
  </r>
  <r>
    <x v="1134"/>
    <x v="7"/>
    <x v="2896"/>
  </r>
  <r>
    <x v="1134"/>
    <x v="0"/>
    <x v="27"/>
  </r>
  <r>
    <x v="1134"/>
    <x v="1"/>
    <x v="14"/>
  </r>
  <r>
    <x v="1135"/>
    <x v="10"/>
    <x v="2897"/>
  </r>
  <r>
    <x v="1135"/>
    <x v="0"/>
    <x v="13"/>
  </r>
  <r>
    <x v="1135"/>
    <x v="10"/>
    <x v="2898"/>
  </r>
  <r>
    <x v="1135"/>
    <x v="1"/>
    <x v="2729"/>
  </r>
  <r>
    <x v="1136"/>
    <x v="0"/>
    <x v="13"/>
  </r>
  <r>
    <x v="1136"/>
    <x v="1"/>
    <x v="14"/>
  </r>
  <r>
    <x v="1137"/>
    <x v="7"/>
    <x v="2899"/>
  </r>
  <r>
    <x v="1137"/>
    <x v="4"/>
    <x v="2900"/>
  </r>
  <r>
    <x v="1137"/>
    <x v="0"/>
    <x v="2"/>
  </r>
  <r>
    <x v="1137"/>
    <x v="1"/>
    <x v="2901"/>
  </r>
  <r>
    <x v="1138"/>
    <x v="0"/>
    <x v="13"/>
  </r>
  <r>
    <x v="1138"/>
    <x v="1"/>
    <x v="3"/>
  </r>
  <r>
    <x v="1139"/>
    <x v="82"/>
    <x v="2181"/>
  </r>
  <r>
    <x v="1139"/>
    <x v="51"/>
    <x v="2902"/>
  </r>
  <r>
    <x v="1139"/>
    <x v="107"/>
    <x v="2903"/>
  </r>
  <r>
    <x v="1139"/>
    <x v="10"/>
    <x v="2904"/>
  </r>
  <r>
    <x v="1139"/>
    <x v="10"/>
    <x v="2904"/>
  </r>
  <r>
    <x v="1139"/>
    <x v="10"/>
    <x v="2905"/>
  </r>
  <r>
    <x v="1139"/>
    <x v="10"/>
    <x v="2906"/>
  </r>
  <r>
    <x v="1139"/>
    <x v="10"/>
    <x v="2907"/>
  </r>
  <r>
    <x v="1139"/>
    <x v="10"/>
    <x v="2908"/>
  </r>
  <r>
    <x v="1139"/>
    <x v="0"/>
    <x v="27"/>
  </r>
  <r>
    <x v="1139"/>
    <x v="1"/>
    <x v="14"/>
  </r>
  <r>
    <x v="1140"/>
    <x v="82"/>
    <x v="2909"/>
  </r>
  <r>
    <x v="1140"/>
    <x v="107"/>
    <x v="2910"/>
  </r>
  <r>
    <x v="1140"/>
    <x v="0"/>
    <x v="13"/>
  </r>
  <r>
    <x v="1140"/>
    <x v="1"/>
    <x v="39"/>
  </r>
  <r>
    <x v="1141"/>
    <x v="0"/>
    <x v="13"/>
  </r>
  <r>
    <x v="1141"/>
    <x v="1"/>
    <x v="14"/>
  </r>
  <r>
    <x v="1142"/>
    <x v="0"/>
    <x v="13"/>
  </r>
  <r>
    <x v="1142"/>
    <x v="1"/>
    <x v="14"/>
  </r>
  <r>
    <x v="1143"/>
    <x v="10"/>
    <x v="2911"/>
  </r>
  <r>
    <x v="1143"/>
    <x v="10"/>
    <x v="2911"/>
  </r>
  <r>
    <x v="1143"/>
    <x v="10"/>
    <x v="2912"/>
  </r>
  <r>
    <x v="1143"/>
    <x v="10"/>
    <x v="2913"/>
  </r>
  <r>
    <x v="1143"/>
    <x v="10"/>
    <x v="2914"/>
  </r>
  <r>
    <x v="1143"/>
    <x v="10"/>
    <x v="2915"/>
  </r>
  <r>
    <x v="1143"/>
    <x v="10"/>
    <x v="2914"/>
  </r>
  <r>
    <x v="1143"/>
    <x v="10"/>
    <x v="2914"/>
  </r>
  <r>
    <x v="1143"/>
    <x v="10"/>
    <x v="2914"/>
  </r>
  <r>
    <x v="1143"/>
    <x v="10"/>
    <x v="2916"/>
  </r>
  <r>
    <x v="1143"/>
    <x v="10"/>
    <x v="2917"/>
  </r>
  <r>
    <x v="1143"/>
    <x v="10"/>
    <x v="2918"/>
  </r>
  <r>
    <x v="1143"/>
    <x v="0"/>
    <x v="13"/>
  </r>
  <r>
    <x v="1143"/>
    <x v="1"/>
    <x v="14"/>
  </r>
  <r>
    <x v="1144"/>
    <x v="102"/>
    <x v="2919"/>
  </r>
  <r>
    <x v="1144"/>
    <x v="10"/>
    <x v="2920"/>
  </r>
  <r>
    <x v="1144"/>
    <x v="10"/>
    <x v="2920"/>
  </r>
  <r>
    <x v="1144"/>
    <x v="10"/>
    <x v="1942"/>
  </r>
  <r>
    <x v="1144"/>
    <x v="10"/>
    <x v="2921"/>
  </r>
  <r>
    <x v="1144"/>
    <x v="10"/>
    <x v="311"/>
  </r>
  <r>
    <x v="1144"/>
    <x v="10"/>
    <x v="2810"/>
  </r>
  <r>
    <x v="1144"/>
    <x v="10"/>
    <x v="2922"/>
  </r>
  <r>
    <x v="1144"/>
    <x v="10"/>
    <x v="2923"/>
  </r>
  <r>
    <x v="1144"/>
    <x v="0"/>
    <x v="27"/>
  </r>
  <r>
    <x v="1144"/>
    <x v="8"/>
    <x v="2924"/>
  </r>
  <r>
    <x v="1144"/>
    <x v="8"/>
    <x v="2925"/>
  </r>
  <r>
    <x v="1145"/>
    <x v="102"/>
    <x v="2926"/>
  </r>
  <r>
    <x v="1145"/>
    <x v="102"/>
    <x v="2927"/>
  </r>
  <r>
    <x v="1145"/>
    <x v="102"/>
    <x v="2928"/>
  </r>
  <r>
    <x v="1145"/>
    <x v="102"/>
    <x v="2929"/>
  </r>
  <r>
    <x v="1145"/>
    <x v="82"/>
    <x v="1599"/>
  </r>
  <r>
    <x v="1145"/>
    <x v="0"/>
    <x v="13"/>
  </r>
  <r>
    <x v="1146"/>
    <x v="0"/>
    <x v="13"/>
  </r>
  <r>
    <x v="1147"/>
    <x v="0"/>
    <x v="2"/>
  </r>
  <r>
    <x v="1148"/>
    <x v="10"/>
    <x v="2930"/>
  </r>
  <r>
    <x v="1148"/>
    <x v="10"/>
    <x v="2930"/>
  </r>
  <r>
    <x v="1148"/>
    <x v="10"/>
    <x v="2931"/>
  </r>
  <r>
    <x v="1148"/>
    <x v="10"/>
    <x v="2932"/>
  </r>
  <r>
    <x v="1148"/>
    <x v="10"/>
    <x v="2933"/>
  </r>
  <r>
    <x v="1148"/>
    <x v="10"/>
    <x v="2840"/>
  </r>
  <r>
    <x v="1148"/>
    <x v="10"/>
    <x v="2934"/>
  </r>
  <r>
    <x v="1148"/>
    <x v="10"/>
    <x v="2935"/>
  </r>
  <r>
    <x v="1148"/>
    <x v="0"/>
    <x v="2"/>
  </r>
  <r>
    <x v="1148"/>
    <x v="1"/>
    <x v="2936"/>
  </r>
  <r>
    <x v="1149"/>
    <x v="0"/>
    <x v="6"/>
  </r>
  <r>
    <x v="1149"/>
    <x v="1"/>
    <x v="2937"/>
  </r>
  <r>
    <x v="1150"/>
    <x v="0"/>
    <x v="13"/>
  </r>
  <r>
    <x v="1150"/>
    <x v="1"/>
    <x v="8"/>
  </r>
  <r>
    <x v="1151"/>
    <x v="0"/>
    <x v="13"/>
  </r>
  <r>
    <x v="1151"/>
    <x v="1"/>
    <x v="14"/>
  </r>
  <r>
    <x v="1152"/>
    <x v="0"/>
    <x v="13"/>
  </r>
  <r>
    <x v="1152"/>
    <x v="1"/>
    <x v="14"/>
  </r>
  <r>
    <x v="1153"/>
    <x v="82"/>
    <x v="2938"/>
  </r>
  <r>
    <x v="1153"/>
    <x v="10"/>
    <x v="2939"/>
  </r>
  <r>
    <x v="1153"/>
    <x v="0"/>
    <x v="13"/>
  </r>
  <r>
    <x v="1153"/>
    <x v="1"/>
    <x v="14"/>
  </r>
  <r>
    <x v="1154"/>
    <x v="0"/>
    <x v="27"/>
  </r>
  <r>
    <x v="1154"/>
    <x v="1"/>
    <x v="14"/>
  </r>
  <r>
    <x v="1155"/>
    <x v="0"/>
    <x v="13"/>
  </r>
  <r>
    <x v="1155"/>
    <x v="1"/>
    <x v="39"/>
  </r>
  <r>
    <x v="1156"/>
    <x v="0"/>
    <x v="13"/>
  </r>
  <r>
    <x v="1156"/>
    <x v="1"/>
    <x v="14"/>
  </r>
  <r>
    <x v="1157"/>
    <x v="0"/>
    <x v="13"/>
  </r>
  <r>
    <x v="1157"/>
    <x v="1"/>
    <x v="2940"/>
  </r>
  <r>
    <x v="1158"/>
    <x v="0"/>
    <x v="13"/>
  </r>
  <r>
    <x v="1158"/>
    <x v="1"/>
    <x v="2941"/>
  </r>
  <r>
    <x v="1159"/>
    <x v="82"/>
    <x v="2893"/>
  </r>
  <r>
    <x v="1159"/>
    <x v="10"/>
    <x v="2894"/>
  </r>
  <r>
    <x v="1159"/>
    <x v="0"/>
    <x v="27"/>
  </r>
  <r>
    <x v="1159"/>
    <x v="1"/>
    <x v="14"/>
  </r>
  <r>
    <x v="1160"/>
    <x v="0"/>
    <x v="13"/>
  </r>
  <r>
    <x v="1160"/>
    <x v="1"/>
    <x v="39"/>
  </r>
  <r>
    <x v="1161"/>
    <x v="0"/>
    <x v="13"/>
  </r>
  <r>
    <x v="1161"/>
    <x v="1"/>
    <x v="14"/>
  </r>
  <r>
    <x v="1162"/>
    <x v="60"/>
    <x v="2942"/>
  </r>
  <r>
    <x v="1162"/>
    <x v="0"/>
    <x v="13"/>
  </r>
  <r>
    <x v="1162"/>
    <x v="1"/>
    <x v="2943"/>
  </r>
  <r>
    <x v="1162"/>
    <x v="107"/>
    <x v="2944"/>
  </r>
  <r>
    <x v="1162"/>
    <x v="60"/>
    <x v="2945"/>
  </r>
  <r>
    <x v="1163"/>
    <x v="60"/>
    <x v="2946"/>
  </r>
  <r>
    <x v="1163"/>
    <x v="10"/>
    <x v="2947"/>
  </r>
  <r>
    <x v="1163"/>
    <x v="82"/>
    <x v="2948"/>
  </r>
  <r>
    <x v="1163"/>
    <x v="10"/>
    <x v="2949"/>
  </r>
  <r>
    <x v="1163"/>
    <x v="10"/>
    <x v="2950"/>
  </r>
  <r>
    <x v="1163"/>
    <x v="10"/>
    <x v="2951"/>
  </r>
  <r>
    <x v="1163"/>
    <x v="10"/>
    <x v="2952"/>
  </r>
  <r>
    <x v="1163"/>
    <x v="10"/>
    <x v="367"/>
  </r>
  <r>
    <x v="1163"/>
    <x v="10"/>
    <x v="2953"/>
  </r>
  <r>
    <x v="1163"/>
    <x v="10"/>
    <x v="2954"/>
  </r>
  <r>
    <x v="1163"/>
    <x v="10"/>
    <x v="2818"/>
  </r>
  <r>
    <x v="1163"/>
    <x v="10"/>
    <x v="2955"/>
  </r>
  <r>
    <x v="1163"/>
    <x v="10"/>
    <x v="2956"/>
  </r>
  <r>
    <x v="1163"/>
    <x v="10"/>
    <x v="2957"/>
  </r>
  <r>
    <x v="1163"/>
    <x v="10"/>
    <x v="2958"/>
  </r>
  <r>
    <x v="1163"/>
    <x v="10"/>
    <x v="2958"/>
  </r>
  <r>
    <x v="1163"/>
    <x v="0"/>
    <x v="13"/>
  </r>
  <r>
    <x v="1163"/>
    <x v="10"/>
    <x v="2959"/>
  </r>
  <r>
    <x v="1163"/>
    <x v="1"/>
    <x v="14"/>
  </r>
  <r>
    <x v="1164"/>
    <x v="0"/>
    <x v="27"/>
  </r>
  <r>
    <x v="1165"/>
    <x v="82"/>
    <x v="2960"/>
  </r>
  <r>
    <x v="1165"/>
    <x v="10"/>
    <x v="2961"/>
  </r>
  <r>
    <x v="1165"/>
    <x v="10"/>
    <x v="2962"/>
  </r>
  <r>
    <x v="1165"/>
    <x v="10"/>
    <x v="2963"/>
  </r>
  <r>
    <x v="1165"/>
    <x v="10"/>
    <x v="2838"/>
  </r>
  <r>
    <x v="1165"/>
    <x v="10"/>
    <x v="2964"/>
  </r>
  <r>
    <x v="1165"/>
    <x v="10"/>
    <x v="2965"/>
  </r>
  <r>
    <x v="1165"/>
    <x v="0"/>
    <x v="13"/>
  </r>
  <r>
    <x v="1165"/>
    <x v="1"/>
    <x v="2966"/>
  </r>
  <r>
    <x v="1166"/>
    <x v="0"/>
    <x v="13"/>
  </r>
  <r>
    <x v="1167"/>
    <x v="0"/>
    <x v="13"/>
  </r>
  <r>
    <x v="1168"/>
    <x v="0"/>
    <x v="2890"/>
  </r>
  <r>
    <x v="1169"/>
    <x v="0"/>
    <x v="13"/>
  </r>
  <r>
    <x v="1170"/>
    <x v="0"/>
    <x v="13"/>
  </r>
  <r>
    <x v="1171"/>
    <x v="0"/>
    <x v="13"/>
  </r>
  <r>
    <x v="1172"/>
    <x v="0"/>
    <x v="2890"/>
  </r>
  <r>
    <x v="1173"/>
    <x v="82"/>
    <x v="2967"/>
  </r>
  <r>
    <x v="1173"/>
    <x v="10"/>
    <x v="2968"/>
  </r>
  <r>
    <x v="1173"/>
    <x v="0"/>
    <x v="13"/>
  </r>
  <r>
    <x v="1174"/>
    <x v="0"/>
    <x v="13"/>
  </r>
  <r>
    <x v="1175"/>
    <x v="82"/>
    <x v="2969"/>
  </r>
  <r>
    <x v="1175"/>
    <x v="10"/>
    <x v="2970"/>
  </r>
  <r>
    <x v="1175"/>
    <x v="0"/>
    <x v="13"/>
  </r>
  <r>
    <x v="1176"/>
    <x v="0"/>
    <x v="2"/>
  </r>
  <r>
    <x v="1177"/>
    <x v="0"/>
    <x v="6"/>
  </r>
  <r>
    <x v="1178"/>
    <x v="0"/>
    <x v="2"/>
  </r>
  <r>
    <x v="1179"/>
    <x v="0"/>
    <x v="2"/>
  </r>
  <r>
    <x v="1180"/>
    <x v="0"/>
    <x v="2"/>
  </r>
  <r>
    <x v="1181"/>
    <x v="0"/>
    <x v="2"/>
  </r>
  <r>
    <x v="1182"/>
    <x v="10"/>
    <x v="2971"/>
  </r>
  <r>
    <x v="1182"/>
    <x v="10"/>
    <x v="2971"/>
  </r>
  <r>
    <x v="1182"/>
    <x v="0"/>
    <x v="6"/>
  </r>
  <r>
    <x v="1183"/>
    <x v="0"/>
    <x v="2"/>
  </r>
  <r>
    <x v="1184"/>
    <x v="10"/>
    <x v="2972"/>
  </r>
  <r>
    <x v="1184"/>
    <x v="10"/>
    <x v="2973"/>
  </r>
  <r>
    <x v="1184"/>
    <x v="10"/>
    <x v="2974"/>
  </r>
  <r>
    <x v="1184"/>
    <x v="10"/>
    <x v="2975"/>
  </r>
  <r>
    <x v="1184"/>
    <x v="10"/>
    <x v="2974"/>
  </r>
  <r>
    <x v="1184"/>
    <x v="10"/>
    <x v="2976"/>
  </r>
  <r>
    <x v="1184"/>
    <x v="10"/>
    <x v="2977"/>
  </r>
  <r>
    <x v="1184"/>
    <x v="0"/>
    <x v="2"/>
  </r>
  <r>
    <x v="1185"/>
    <x v="0"/>
    <x v="2"/>
  </r>
  <r>
    <x v="1186"/>
    <x v="82"/>
    <x v="2978"/>
  </r>
  <r>
    <x v="1186"/>
    <x v="10"/>
    <x v="2979"/>
  </r>
  <r>
    <x v="1186"/>
    <x v="0"/>
    <x v="2"/>
  </r>
  <r>
    <x v="1187"/>
    <x v="0"/>
    <x v="6"/>
  </r>
  <r>
    <x v="1188"/>
    <x v="0"/>
    <x v="2"/>
  </r>
  <r>
    <x v="1189"/>
    <x v="0"/>
    <x v="2"/>
  </r>
  <r>
    <x v="1190"/>
    <x v="0"/>
    <x v="2"/>
  </r>
  <r>
    <x v="1191"/>
    <x v="0"/>
    <x v="2"/>
  </r>
  <r>
    <x v="1192"/>
    <x v="82"/>
    <x v="2980"/>
  </r>
  <r>
    <x v="1192"/>
    <x v="10"/>
    <x v="2981"/>
  </r>
  <r>
    <x v="1192"/>
    <x v="0"/>
    <x v="6"/>
  </r>
  <r>
    <x v="1193"/>
    <x v="0"/>
    <x v="2"/>
  </r>
  <r>
    <x v="1194"/>
    <x v="0"/>
    <x v="2"/>
  </r>
  <r>
    <x v="1195"/>
    <x v="0"/>
    <x v="2"/>
  </r>
  <r>
    <x v="1196"/>
    <x v="0"/>
    <x v="2"/>
  </r>
  <r>
    <x v="1197"/>
    <x v="0"/>
    <x v="6"/>
  </r>
  <r>
    <x v="1198"/>
    <x v="0"/>
    <x v="2"/>
  </r>
  <r>
    <x v="1199"/>
    <x v="0"/>
    <x v="2"/>
  </r>
  <r>
    <x v="1200"/>
    <x v="10"/>
    <x v="2982"/>
  </r>
  <r>
    <x v="1200"/>
    <x v="1"/>
    <x v="2983"/>
  </r>
  <r>
    <x v="1200"/>
    <x v="0"/>
    <x v="2984"/>
  </r>
  <r>
    <x v="1201"/>
    <x v="0"/>
    <x v="2"/>
  </r>
  <r>
    <x v="1202"/>
    <x v="4"/>
    <x v="2985"/>
  </r>
  <r>
    <x v="1202"/>
    <x v="0"/>
    <x v="6"/>
  </r>
  <r>
    <x v="1203"/>
    <x v="0"/>
    <x v="2604"/>
  </r>
  <r>
    <x v="1204"/>
    <x v="0"/>
    <x v="2604"/>
  </r>
  <r>
    <x v="1205"/>
    <x v="0"/>
    <x v="2604"/>
  </r>
  <r>
    <x v="1206"/>
    <x v="0"/>
    <x v="2604"/>
  </r>
  <r>
    <x v="1207"/>
    <x v="0"/>
    <x v="2986"/>
  </r>
  <r>
    <x v="1208"/>
    <x v="0"/>
    <x v="2604"/>
  </r>
  <r>
    <x v="1209"/>
    <x v="0"/>
    <x v="2604"/>
  </r>
  <r>
    <x v="1210"/>
    <x v="0"/>
    <x v="2604"/>
  </r>
  <r>
    <x v="1211"/>
    <x v="0"/>
    <x v="2604"/>
  </r>
  <r>
    <x v="1212"/>
    <x v="0"/>
    <x v="2986"/>
  </r>
  <r>
    <x v="1213"/>
    <x v="0"/>
    <x v="2604"/>
  </r>
  <r>
    <x v="1214"/>
    <x v="0"/>
    <x v="2604"/>
  </r>
  <r>
    <x v="1215"/>
    <x v="0"/>
    <x v="2604"/>
  </r>
  <r>
    <x v="1216"/>
    <x v="82"/>
    <x v="2987"/>
  </r>
  <r>
    <x v="1216"/>
    <x v="10"/>
    <x v="2988"/>
  </r>
  <r>
    <x v="1216"/>
    <x v="10"/>
    <x v="2989"/>
  </r>
  <r>
    <x v="1216"/>
    <x v="10"/>
    <x v="2990"/>
  </r>
  <r>
    <x v="1216"/>
    <x v="10"/>
    <x v="2793"/>
  </r>
  <r>
    <x v="1216"/>
    <x v="10"/>
    <x v="2991"/>
  </r>
  <r>
    <x v="1216"/>
    <x v="10"/>
    <x v="2992"/>
  </r>
  <r>
    <x v="1216"/>
    <x v="0"/>
    <x v="2604"/>
  </r>
  <r>
    <x v="1217"/>
    <x v="0"/>
    <x v="2986"/>
  </r>
  <r>
    <x v="1218"/>
    <x v="0"/>
    <x v="2604"/>
  </r>
  <r>
    <x v="1219"/>
    <x v="0"/>
    <x v="2604"/>
  </r>
  <r>
    <x v="1220"/>
    <x v="0"/>
    <x v="2604"/>
  </r>
  <r>
    <x v="1221"/>
    <x v="10"/>
    <x v="2993"/>
  </r>
  <r>
    <x v="1221"/>
    <x v="10"/>
    <x v="2994"/>
  </r>
  <r>
    <x v="1221"/>
    <x v="10"/>
    <x v="2995"/>
  </r>
  <r>
    <x v="1221"/>
    <x v="10"/>
    <x v="2996"/>
  </r>
  <r>
    <x v="1221"/>
    <x v="0"/>
    <x v="2604"/>
  </r>
  <r>
    <x v="1222"/>
    <x v="1"/>
    <x v="2997"/>
  </r>
  <r>
    <x v="1222"/>
    <x v="0"/>
    <x v="6"/>
  </r>
  <r>
    <x v="1223"/>
    <x v="0"/>
    <x v="2604"/>
  </r>
  <r>
    <x v="1224"/>
    <x v="0"/>
    <x v="2"/>
  </r>
  <r>
    <x v="1225"/>
    <x v="0"/>
    <x v="2"/>
  </r>
  <r>
    <x v="1226"/>
    <x v="0"/>
    <x v="2"/>
  </r>
  <r>
    <x v="1227"/>
    <x v="0"/>
    <x v="6"/>
  </r>
  <r>
    <x v="1228"/>
    <x v="0"/>
    <x v="2604"/>
  </r>
  <r>
    <x v="1229"/>
    <x v="0"/>
    <x v="2604"/>
  </r>
  <r>
    <x v="1230"/>
    <x v="0"/>
    <x v="2604"/>
  </r>
  <r>
    <x v="1231"/>
    <x v="0"/>
    <x v="2998"/>
  </r>
  <r>
    <x v="1232"/>
    <x v="0"/>
    <x v="2604"/>
  </r>
  <r>
    <x v="1233"/>
    <x v="0"/>
    <x v="2604"/>
  </r>
  <r>
    <x v="1234"/>
    <x v="0"/>
    <x v="2986"/>
  </r>
  <r>
    <x v="1235"/>
    <x v="0"/>
    <x v="2604"/>
  </r>
  <r>
    <x v="1236"/>
    <x v="40"/>
    <x v="2999"/>
  </r>
  <r>
    <x v="1236"/>
    <x v="40"/>
    <x v="7"/>
  </r>
  <r>
    <x v="1236"/>
    <x v="10"/>
    <x v="3000"/>
  </r>
  <r>
    <x v="1236"/>
    <x v="0"/>
    <x v="2604"/>
  </r>
  <r>
    <x v="1237"/>
    <x v="0"/>
    <x v="2604"/>
  </r>
  <r>
    <x v="1238"/>
    <x v="1"/>
    <x v="3001"/>
  </r>
  <r>
    <x v="1238"/>
    <x v="4"/>
    <x v="3002"/>
  </r>
  <r>
    <x v="1238"/>
    <x v="0"/>
    <x v="2604"/>
  </r>
  <r>
    <x v="1239"/>
    <x v="1"/>
    <x v="2642"/>
  </r>
  <r>
    <x v="1239"/>
    <x v="0"/>
    <x v="2986"/>
  </r>
  <r>
    <x v="1240"/>
    <x v="1"/>
    <x v="3003"/>
  </r>
  <r>
    <x v="1240"/>
    <x v="0"/>
    <x v="2604"/>
  </r>
  <r>
    <x v="1241"/>
    <x v="1"/>
    <x v="2642"/>
  </r>
  <r>
    <x v="1241"/>
    <x v="0"/>
    <x v="2604"/>
  </r>
  <r>
    <x v="1242"/>
    <x v="1"/>
    <x v="3004"/>
  </r>
  <r>
    <x v="1242"/>
    <x v="60"/>
    <x v="3005"/>
  </r>
  <r>
    <x v="1242"/>
    <x v="0"/>
    <x v="2"/>
  </r>
  <r>
    <x v="1243"/>
    <x v="1"/>
    <x v="3"/>
  </r>
  <r>
    <x v="1243"/>
    <x v="0"/>
    <x v="2"/>
  </r>
  <r>
    <x v="1244"/>
    <x v="1"/>
    <x v="3006"/>
  </r>
  <r>
    <x v="1244"/>
    <x v="4"/>
    <x v="3007"/>
  </r>
  <r>
    <x v="1244"/>
    <x v="0"/>
    <x v="6"/>
  </r>
  <r>
    <x v="1245"/>
    <x v="1"/>
    <x v="8"/>
  </r>
  <r>
    <x v="1245"/>
    <x v="0"/>
    <x v="2"/>
  </r>
  <r>
    <x v="1246"/>
    <x v="1"/>
    <x v="3"/>
  </r>
  <r>
    <x v="1246"/>
    <x v="0"/>
    <x v="2"/>
  </r>
  <r>
    <x v="1247"/>
    <x v="1"/>
    <x v="3"/>
  </r>
  <r>
    <x v="1247"/>
    <x v="0"/>
    <x v="2"/>
  </r>
  <r>
    <x v="1248"/>
    <x v="1"/>
    <x v="3"/>
  </r>
  <r>
    <x v="1248"/>
    <x v="0"/>
    <x v="2"/>
  </r>
  <r>
    <x v="1249"/>
    <x v="1"/>
    <x v="3"/>
  </r>
  <r>
    <x v="1249"/>
    <x v="0"/>
    <x v="2227"/>
  </r>
  <r>
    <x v="1250"/>
    <x v="1"/>
    <x v="2226"/>
  </r>
  <r>
    <x v="1250"/>
    <x v="0"/>
    <x v="2"/>
  </r>
  <r>
    <x v="1251"/>
    <x v="1"/>
    <x v="3"/>
  </r>
  <r>
    <x v="1251"/>
    <x v="0"/>
    <x v="6"/>
  </r>
  <r>
    <x v="1252"/>
    <x v="1"/>
    <x v="8"/>
  </r>
  <r>
    <x v="1252"/>
    <x v="0"/>
    <x v="2"/>
  </r>
  <r>
    <x v="1253"/>
    <x v="1"/>
    <x v="3"/>
  </r>
  <r>
    <x v="1253"/>
    <x v="0"/>
    <x v="2"/>
  </r>
  <r>
    <x v="1254"/>
    <x v="1"/>
    <x v="3"/>
  </r>
  <r>
    <x v="1254"/>
    <x v="0"/>
    <x v="2"/>
  </r>
  <r>
    <x v="1255"/>
    <x v="1"/>
    <x v="3"/>
  </r>
  <r>
    <x v="1255"/>
    <x v="0"/>
    <x v="2"/>
  </r>
  <r>
    <x v="1256"/>
    <x v="1"/>
    <x v="3"/>
  </r>
  <r>
    <x v="1256"/>
    <x v="0"/>
    <x v="6"/>
  </r>
  <r>
    <x v="1257"/>
    <x v="1"/>
    <x v="8"/>
  </r>
  <r>
    <x v="1257"/>
    <x v="0"/>
    <x v="2"/>
  </r>
  <r>
    <x v="1258"/>
    <x v="1"/>
    <x v="3"/>
  </r>
  <r>
    <x v="1259"/>
    <x v="0"/>
    <x v="257"/>
  </r>
  <r>
    <x v="1260"/>
    <x v="1"/>
    <x v="3008"/>
  </r>
  <r>
    <x v="1260"/>
    <x v="0"/>
    <x v="2"/>
  </r>
  <r>
    <x v="1261"/>
    <x v="1"/>
    <x v="3"/>
  </r>
  <r>
    <x v="1261"/>
    <x v="0"/>
    <x v="6"/>
  </r>
  <r>
    <x v="1262"/>
    <x v="1"/>
    <x v="8"/>
  </r>
  <r>
    <x v="1262"/>
    <x v="0"/>
    <x v="2"/>
  </r>
  <r>
    <x v="1263"/>
    <x v="1"/>
    <x v="3"/>
  </r>
  <r>
    <x v="1263"/>
    <x v="0"/>
    <x v="2"/>
  </r>
  <r>
    <x v="1264"/>
    <x v="82"/>
    <x v="3009"/>
  </r>
  <r>
    <x v="1264"/>
    <x v="82"/>
    <x v="3010"/>
  </r>
  <r>
    <x v="1264"/>
    <x v="10"/>
    <x v="3011"/>
  </r>
  <r>
    <x v="1264"/>
    <x v="1"/>
    <x v="3"/>
  </r>
  <r>
    <x v="1264"/>
    <x v="0"/>
    <x v="2"/>
  </r>
  <r>
    <x v="1265"/>
    <x v="10"/>
    <x v="3012"/>
  </r>
  <r>
    <x v="1265"/>
    <x v="10"/>
    <x v="3013"/>
  </r>
  <r>
    <x v="1265"/>
    <x v="10"/>
    <x v="3014"/>
  </r>
  <r>
    <x v="1265"/>
    <x v="1"/>
    <x v="3"/>
  </r>
  <r>
    <x v="1265"/>
    <x v="0"/>
    <x v="2"/>
  </r>
  <r>
    <x v="1266"/>
    <x v="1"/>
    <x v="3"/>
  </r>
  <r>
    <x v="1266"/>
    <x v="0"/>
    <x v="6"/>
  </r>
  <r>
    <x v="1267"/>
    <x v="1"/>
    <x v="8"/>
  </r>
  <r>
    <x v="1267"/>
    <x v="0"/>
    <x v="2"/>
  </r>
  <r>
    <x v="1268"/>
    <x v="1"/>
    <x v="3015"/>
  </r>
  <r>
    <x v="1268"/>
    <x v="108"/>
    <x v="3016"/>
  </r>
  <r>
    <x v="1268"/>
    <x v="0"/>
    <x v="2"/>
  </r>
  <r>
    <x v="1269"/>
    <x v="1"/>
    <x v="3017"/>
  </r>
  <r>
    <x v="1269"/>
    <x v="108"/>
    <x v="3018"/>
  </r>
  <r>
    <x v="1269"/>
    <x v="0"/>
    <x v="2"/>
  </r>
  <r>
    <x v="1270"/>
    <x v="1"/>
    <x v="3"/>
  </r>
  <r>
    <x v="1270"/>
    <x v="0"/>
    <x v="2"/>
  </r>
  <r>
    <x v="1271"/>
    <x v="1"/>
    <x v="3"/>
  </r>
  <r>
    <x v="1271"/>
    <x v="0"/>
    <x v="6"/>
  </r>
  <r>
    <x v="1272"/>
    <x v="1"/>
    <x v="8"/>
  </r>
  <r>
    <x v="1272"/>
    <x v="0"/>
    <x v="2"/>
  </r>
  <r>
    <x v="1273"/>
    <x v="60"/>
    <x v="1063"/>
  </r>
  <r>
    <x v="1273"/>
    <x v="82"/>
    <x v="3019"/>
  </r>
  <r>
    <x v="1273"/>
    <x v="10"/>
    <x v="3020"/>
  </r>
  <r>
    <x v="1273"/>
    <x v="1"/>
    <x v="3"/>
  </r>
  <r>
    <x v="1273"/>
    <x v="0"/>
    <x v="2"/>
  </r>
  <r>
    <x v="1274"/>
    <x v="1"/>
    <x v="3"/>
  </r>
  <r>
    <x v="1274"/>
    <x v="0"/>
    <x v="2"/>
  </r>
  <r>
    <x v="1275"/>
    <x v="1"/>
    <x v="3"/>
  </r>
  <r>
    <x v="1275"/>
    <x v="0"/>
    <x v="2"/>
  </r>
  <r>
    <x v="1276"/>
    <x v="1"/>
    <x v="3021"/>
  </r>
  <r>
    <x v="1276"/>
    <x v="109"/>
    <x v="3022"/>
  </r>
  <r>
    <x v="1276"/>
    <x v="0"/>
    <x v="23"/>
  </r>
  <r>
    <x v="1277"/>
    <x v="102"/>
    <x v="3023"/>
  </r>
  <r>
    <x v="1277"/>
    <x v="1"/>
    <x v="3024"/>
  </r>
  <r>
    <x v="1277"/>
    <x v="0"/>
    <x v="2"/>
  </r>
  <r>
    <x v="1278"/>
    <x v="10"/>
    <x v="3025"/>
  </r>
  <r>
    <x v="1278"/>
    <x v="10"/>
    <x v="3026"/>
  </r>
  <r>
    <x v="1278"/>
    <x v="1"/>
    <x v="3"/>
  </r>
  <r>
    <x v="1278"/>
    <x v="0"/>
    <x v="2"/>
  </r>
  <r>
    <x v="1279"/>
    <x v="10"/>
    <x v="3027"/>
  </r>
  <r>
    <x v="1279"/>
    <x v="10"/>
    <x v="3028"/>
  </r>
  <r>
    <x v="1279"/>
    <x v="10"/>
    <x v="3029"/>
  </r>
  <r>
    <x v="1279"/>
    <x v="10"/>
    <x v="17"/>
  </r>
  <r>
    <x v="1279"/>
    <x v="1"/>
    <x v="3"/>
  </r>
  <r>
    <x v="1279"/>
    <x v="0"/>
    <x v="2"/>
  </r>
  <r>
    <x v="1280"/>
    <x v="1"/>
    <x v="3030"/>
  </r>
  <r>
    <x v="1280"/>
    <x v="109"/>
    <x v="3031"/>
  </r>
  <r>
    <x v="1280"/>
    <x v="0"/>
    <x v="6"/>
  </r>
  <r>
    <x v="1281"/>
    <x v="1"/>
    <x v="8"/>
  </r>
  <r>
    <x v="1281"/>
    <x v="1"/>
    <x v="3032"/>
  </r>
  <r>
    <x v="1281"/>
    <x v="0"/>
    <x v="2"/>
  </r>
  <r>
    <x v="1282"/>
    <x v="1"/>
    <x v="3033"/>
  </r>
  <r>
    <x v="1282"/>
    <x v="107"/>
    <x v="3034"/>
  </r>
  <r>
    <x v="1282"/>
    <x v="0"/>
    <x v="2"/>
  </r>
  <r>
    <x v="1283"/>
    <x v="1"/>
    <x v="3035"/>
  </r>
  <r>
    <x v="1283"/>
    <x v="107"/>
    <x v="3036"/>
  </r>
  <r>
    <x v="1283"/>
    <x v="0"/>
    <x v="2"/>
  </r>
  <r>
    <x v="1284"/>
    <x v="1"/>
    <x v="3"/>
  </r>
  <r>
    <x v="1284"/>
    <x v="0"/>
    <x v="2"/>
  </r>
  <r>
    <x v="1285"/>
    <x v="1"/>
    <x v="3"/>
  </r>
  <r>
    <x v="1285"/>
    <x v="0"/>
    <x v="6"/>
  </r>
  <r>
    <x v="1286"/>
    <x v="1"/>
    <x v="8"/>
  </r>
  <r>
    <x v="1286"/>
    <x v="7"/>
    <x v="3037"/>
  </r>
  <r>
    <x v="1286"/>
    <x v="0"/>
    <x v="2"/>
  </r>
  <r>
    <x v="1287"/>
    <x v="1"/>
    <x v="3038"/>
  </r>
  <r>
    <x v="1287"/>
    <x v="0"/>
    <x v="2"/>
  </r>
  <r>
    <x v="1288"/>
    <x v="1"/>
    <x v="3"/>
  </r>
  <r>
    <x v="1289"/>
    <x v="0"/>
    <x v="257"/>
  </r>
  <r>
    <x v="1290"/>
    <x v="1"/>
    <x v="3008"/>
  </r>
  <r>
    <x v="1290"/>
    <x v="0"/>
    <x v="6"/>
  </r>
  <r>
    <x v="1291"/>
    <x v="1"/>
    <x v="3039"/>
  </r>
  <r>
    <x v="1291"/>
    <x v="40"/>
    <x v="3040"/>
  </r>
  <r>
    <x v="1291"/>
    <x v="0"/>
    <x v="2"/>
  </r>
  <r>
    <x v="1292"/>
    <x v="1"/>
    <x v="3041"/>
  </r>
  <r>
    <x v="1292"/>
    <x v="40"/>
    <x v="3042"/>
  </r>
  <r>
    <x v="1292"/>
    <x v="40"/>
    <x v="3043"/>
  </r>
  <r>
    <x v="1292"/>
    <x v="0"/>
    <x v="2"/>
  </r>
  <r>
    <x v="1293"/>
    <x v="1"/>
    <x v="3044"/>
  </r>
  <r>
    <x v="1293"/>
    <x v="40"/>
    <x v="3045"/>
  </r>
  <r>
    <x v="1293"/>
    <x v="40"/>
    <x v="3046"/>
  </r>
  <r>
    <x v="1293"/>
    <x v="0"/>
    <x v="2"/>
  </r>
  <r>
    <x v="1294"/>
    <x v="1"/>
    <x v="3047"/>
  </r>
  <r>
    <x v="1294"/>
    <x v="40"/>
    <x v="3048"/>
  </r>
  <r>
    <x v="1294"/>
    <x v="0"/>
    <x v="13"/>
  </r>
  <r>
    <x v="1295"/>
    <x v="1"/>
    <x v="14"/>
  </r>
  <r>
    <x v="1295"/>
    <x v="0"/>
    <x v="27"/>
  </r>
  <r>
    <x v="1296"/>
    <x v="1"/>
    <x v="3049"/>
  </r>
  <r>
    <x v="1296"/>
    <x v="110"/>
    <x v="1186"/>
  </r>
  <r>
    <x v="1296"/>
    <x v="0"/>
    <x v="13"/>
  </r>
  <r>
    <x v="1297"/>
    <x v="1"/>
    <x v="14"/>
  </r>
  <r>
    <x v="1297"/>
    <x v="110"/>
    <x v="3050"/>
  </r>
  <r>
    <x v="1297"/>
    <x v="0"/>
    <x v="2"/>
  </r>
  <r>
    <x v="1298"/>
    <x v="0"/>
    <x v="2"/>
  </r>
  <r>
    <x v="1299"/>
    <x v="0"/>
    <x v="2"/>
  </r>
  <r>
    <x v="1300"/>
    <x v="0"/>
    <x v="6"/>
  </r>
  <r>
    <x v="1301"/>
    <x v="1"/>
    <x v="3051"/>
  </r>
  <r>
    <x v="1301"/>
    <x v="0"/>
    <x v="13"/>
  </r>
  <r>
    <x v="1302"/>
    <x v="1"/>
    <x v="14"/>
  </r>
  <r>
    <x v="1302"/>
    <x v="0"/>
    <x v="13"/>
  </r>
  <r>
    <x v="1303"/>
    <x v="1"/>
    <x v="14"/>
  </r>
  <r>
    <x v="1303"/>
    <x v="0"/>
    <x v="13"/>
  </r>
  <r>
    <x v="1304"/>
    <x v="1"/>
    <x v="3052"/>
  </r>
  <r>
    <x v="1304"/>
    <x v="0"/>
    <x v="13"/>
  </r>
  <r>
    <x v="1305"/>
    <x v="1"/>
    <x v="3053"/>
  </r>
  <r>
    <x v="1305"/>
    <x v="102"/>
    <x v="3054"/>
  </r>
  <r>
    <x v="1305"/>
    <x v="0"/>
    <x v="27"/>
  </r>
  <r>
    <x v="1306"/>
    <x v="102"/>
    <x v="3055"/>
  </r>
  <r>
    <x v="1306"/>
    <x v="102"/>
    <x v="3054"/>
  </r>
  <r>
    <x v="1306"/>
    <x v="0"/>
    <x v="13"/>
  </r>
  <r>
    <x v="1307"/>
    <x v="1"/>
    <x v="3056"/>
  </r>
  <r>
    <x v="1307"/>
    <x v="102"/>
    <x v="3057"/>
  </r>
  <r>
    <x v="1307"/>
    <x v="0"/>
    <x v="13"/>
  </r>
  <r>
    <x v="1308"/>
    <x v="1"/>
    <x v="14"/>
  </r>
  <r>
    <x v="1308"/>
    <x v="0"/>
    <x v="13"/>
  </r>
  <r>
    <x v="1309"/>
    <x v="40"/>
    <x v="3058"/>
  </r>
  <r>
    <x v="1309"/>
    <x v="40"/>
    <x v="7"/>
  </r>
  <r>
    <x v="1309"/>
    <x v="10"/>
    <x v="3059"/>
  </r>
  <r>
    <x v="1309"/>
    <x v="1"/>
    <x v="3060"/>
  </r>
  <r>
    <x v="1309"/>
    <x v="102"/>
    <x v="3061"/>
  </r>
  <r>
    <x v="1309"/>
    <x v="0"/>
    <x v="13"/>
  </r>
  <r>
    <x v="1310"/>
    <x v="1"/>
    <x v="3062"/>
  </r>
  <r>
    <x v="1310"/>
    <x v="0"/>
    <x v="15"/>
  </r>
  <r>
    <x v="1311"/>
    <x v="1"/>
    <x v="16"/>
  </r>
  <r>
    <x v="1311"/>
    <x v="0"/>
    <x v="13"/>
  </r>
  <r>
    <x v="1312"/>
    <x v="1"/>
    <x v="14"/>
  </r>
  <r>
    <x v="1312"/>
    <x v="0"/>
    <x v="13"/>
  </r>
  <r>
    <x v="1313"/>
    <x v="102"/>
    <x v="3063"/>
  </r>
  <r>
    <x v="1313"/>
    <x v="102"/>
    <x v="3057"/>
  </r>
  <r>
    <x v="1313"/>
    <x v="0"/>
    <x v="13"/>
  </r>
  <r>
    <x v="1314"/>
    <x v="1"/>
    <x v="3064"/>
  </r>
  <r>
    <x v="1314"/>
    <x v="110"/>
    <x v="3065"/>
  </r>
  <r>
    <x v="1314"/>
    <x v="0"/>
    <x v="13"/>
  </r>
  <r>
    <x v="1315"/>
    <x v="1"/>
    <x v="3066"/>
  </r>
  <r>
    <x v="1315"/>
    <x v="0"/>
    <x v="15"/>
  </r>
  <r>
    <x v="1316"/>
    <x v="110"/>
    <x v="2497"/>
  </r>
  <r>
    <x v="1316"/>
    <x v="1"/>
    <x v="3067"/>
  </r>
  <r>
    <x v="1316"/>
    <x v="0"/>
    <x v="13"/>
  </r>
  <r>
    <x v="1317"/>
    <x v="1"/>
    <x v="3068"/>
  </r>
  <r>
    <x v="1317"/>
    <x v="102"/>
    <x v="3063"/>
  </r>
  <r>
    <x v="1317"/>
    <x v="4"/>
    <x v="7"/>
  </r>
  <r>
    <x v="1317"/>
    <x v="0"/>
    <x v="13"/>
  </r>
  <r>
    <x v="1318"/>
    <x v="1"/>
    <x v="3069"/>
  </r>
  <r>
    <x v="1318"/>
    <x v="102"/>
    <x v="3055"/>
  </r>
  <r>
    <x v="1318"/>
    <x v="0"/>
    <x v="13"/>
  </r>
  <r>
    <x v="1319"/>
    <x v="1"/>
    <x v="3070"/>
  </r>
  <r>
    <x v="1319"/>
    <x v="102"/>
    <x v="3054"/>
  </r>
  <r>
    <x v="1319"/>
    <x v="0"/>
    <x v="13"/>
  </r>
  <r>
    <x v="1320"/>
    <x v="1"/>
    <x v="3071"/>
  </r>
  <r>
    <x v="1320"/>
    <x v="102"/>
    <x v="3055"/>
  </r>
  <r>
    <x v="1320"/>
    <x v="0"/>
    <x v="15"/>
  </r>
  <r>
    <x v="1321"/>
    <x v="102"/>
    <x v="3072"/>
  </r>
  <r>
    <x v="1321"/>
    <x v="102"/>
    <x v="3073"/>
  </r>
  <r>
    <x v="1321"/>
    <x v="0"/>
    <x v="13"/>
  </r>
  <r>
    <x v="1322"/>
    <x v="0"/>
    <x v="13"/>
  </r>
  <r>
    <x v="1323"/>
    <x v="1"/>
    <x v="3074"/>
  </r>
  <r>
    <x v="1323"/>
    <x v="102"/>
    <x v="3075"/>
  </r>
  <r>
    <x v="1323"/>
    <x v="102"/>
    <x v="3076"/>
  </r>
  <r>
    <x v="1323"/>
    <x v="0"/>
    <x v="13"/>
  </r>
  <r>
    <x v="1324"/>
    <x v="1"/>
    <x v="14"/>
  </r>
  <r>
    <x v="1324"/>
    <x v="0"/>
    <x v="13"/>
  </r>
  <r>
    <x v="1325"/>
    <x v="1"/>
    <x v="14"/>
  </r>
  <r>
    <x v="1325"/>
    <x v="0"/>
    <x v="27"/>
  </r>
  <r>
    <x v="1326"/>
    <x v="1"/>
    <x v="3077"/>
  </r>
  <r>
    <x v="1326"/>
    <x v="102"/>
    <x v="3063"/>
  </r>
  <r>
    <x v="1326"/>
    <x v="0"/>
    <x v="13"/>
  </r>
  <r>
    <x v="1327"/>
    <x v="1"/>
    <x v="14"/>
  </r>
  <r>
    <x v="1327"/>
    <x v="0"/>
    <x v="13"/>
  </r>
  <r>
    <x v="1328"/>
    <x v="8"/>
    <x v="1100"/>
  </r>
  <r>
    <x v="1328"/>
    <x v="1"/>
    <x v="3078"/>
  </r>
  <r>
    <x v="1328"/>
    <x v="8"/>
    <x v="3079"/>
  </r>
  <r>
    <x v="1328"/>
    <x v="102"/>
    <x v="3055"/>
  </r>
  <r>
    <x v="1328"/>
    <x v="0"/>
    <x v="13"/>
  </r>
  <r>
    <x v="1329"/>
    <x v="1"/>
    <x v="3080"/>
  </r>
  <r>
    <x v="1329"/>
    <x v="102"/>
    <x v="1581"/>
  </r>
  <r>
    <x v="1329"/>
    <x v="0"/>
    <x v="13"/>
  </r>
  <r>
    <x v="1330"/>
    <x v="1"/>
    <x v="3081"/>
  </r>
  <r>
    <x v="1330"/>
    <x v="102"/>
    <x v="3082"/>
  </r>
  <r>
    <x v="1330"/>
    <x v="0"/>
    <x v="15"/>
  </r>
  <r>
    <x v="1331"/>
    <x v="0"/>
    <x v="13"/>
  </r>
  <r>
    <x v="1332"/>
    <x v="10"/>
    <x v="3083"/>
  </r>
  <r>
    <x v="1332"/>
    <x v="10"/>
    <x v="3084"/>
  </r>
  <r>
    <x v="1332"/>
    <x v="1"/>
    <x v="3085"/>
  </r>
  <r>
    <x v="1332"/>
    <x v="8"/>
    <x v="3086"/>
  </r>
  <r>
    <x v="1332"/>
    <x v="4"/>
    <x v="3087"/>
  </r>
  <r>
    <x v="1332"/>
    <x v="0"/>
    <x v="13"/>
  </r>
  <r>
    <x v="1333"/>
    <x v="1"/>
    <x v="3088"/>
  </r>
  <r>
    <x v="1333"/>
    <x v="4"/>
    <x v="3089"/>
  </r>
  <r>
    <x v="1333"/>
    <x v="0"/>
    <x v="2"/>
  </r>
  <r>
    <x v="1334"/>
    <x v="82"/>
    <x v="3090"/>
  </r>
  <r>
    <x v="1334"/>
    <x v="10"/>
    <x v="3091"/>
  </r>
  <r>
    <x v="1334"/>
    <x v="10"/>
    <x v="3092"/>
  </r>
  <r>
    <x v="1334"/>
    <x v="10"/>
    <x v="3093"/>
  </r>
  <r>
    <x v="1334"/>
    <x v="10"/>
    <x v="3094"/>
  </r>
  <r>
    <x v="1334"/>
    <x v="1"/>
    <x v="3"/>
  </r>
  <r>
    <x v="1334"/>
    <x v="0"/>
    <x v="2"/>
  </r>
  <r>
    <x v="1335"/>
    <x v="82"/>
    <x v="3095"/>
  </r>
  <r>
    <x v="1335"/>
    <x v="1"/>
    <x v="3"/>
  </r>
  <r>
    <x v="1335"/>
    <x v="0"/>
    <x v="6"/>
  </r>
  <r>
    <x v="1336"/>
    <x v="82"/>
    <x v="3096"/>
  </r>
  <r>
    <x v="1336"/>
    <x v="10"/>
    <x v="3097"/>
  </r>
  <r>
    <x v="1336"/>
    <x v="10"/>
    <x v="3098"/>
  </r>
  <r>
    <x v="1336"/>
    <x v="10"/>
    <x v="3099"/>
  </r>
  <r>
    <x v="1336"/>
    <x v="10"/>
    <x v="3100"/>
  </r>
  <r>
    <x v="1336"/>
    <x v="1"/>
    <x v="3101"/>
  </r>
  <r>
    <x v="1336"/>
    <x v="8"/>
    <x v="3102"/>
  </r>
  <r>
    <x v="1336"/>
    <x v="0"/>
    <x v="2"/>
  </r>
  <r>
    <x v="1337"/>
    <x v="82"/>
    <x v="3095"/>
  </r>
  <r>
    <x v="1337"/>
    <x v="82"/>
    <x v="3103"/>
  </r>
  <r>
    <x v="1337"/>
    <x v="10"/>
    <x v="3104"/>
  </r>
  <r>
    <x v="1337"/>
    <x v="10"/>
    <x v="3105"/>
  </r>
  <r>
    <x v="1337"/>
    <x v="10"/>
    <x v="3106"/>
  </r>
  <r>
    <x v="1337"/>
    <x v="10"/>
    <x v="3107"/>
  </r>
  <r>
    <x v="1337"/>
    <x v="1"/>
    <x v="3108"/>
  </r>
  <r>
    <x v="1337"/>
    <x v="0"/>
    <x v="2"/>
  </r>
  <r>
    <x v="1338"/>
    <x v="82"/>
    <x v="3109"/>
  </r>
  <r>
    <x v="1338"/>
    <x v="1"/>
    <x v="3"/>
  </r>
  <r>
    <x v="1338"/>
    <x v="0"/>
    <x v="2"/>
  </r>
  <r>
    <x v="1339"/>
    <x v="60"/>
    <x v="3110"/>
  </r>
  <r>
    <x v="1339"/>
    <x v="10"/>
    <x v="3111"/>
  </r>
  <r>
    <x v="1339"/>
    <x v="10"/>
    <x v="3112"/>
  </r>
  <r>
    <x v="1339"/>
    <x v="10"/>
    <x v="3113"/>
  </r>
  <r>
    <x v="1339"/>
    <x v="10"/>
    <x v="3114"/>
  </r>
  <r>
    <x v="1339"/>
    <x v="1"/>
    <x v="3"/>
  </r>
  <r>
    <x v="1339"/>
    <x v="0"/>
    <x v="2"/>
  </r>
  <r>
    <x v="1340"/>
    <x v="1"/>
    <x v="3115"/>
  </r>
  <r>
    <x v="1340"/>
    <x v="111"/>
    <x v="3116"/>
  </r>
  <r>
    <x v="1340"/>
    <x v="0"/>
    <x v="6"/>
  </r>
  <r>
    <x v="1341"/>
    <x v="82"/>
    <x v="3117"/>
  </r>
  <r>
    <x v="1341"/>
    <x v="10"/>
    <x v="3118"/>
  </r>
  <r>
    <x v="1341"/>
    <x v="1"/>
    <x v="3119"/>
  </r>
  <r>
    <x v="1341"/>
    <x v="111"/>
    <x v="3120"/>
  </r>
  <r>
    <x v="1341"/>
    <x v="0"/>
    <x v="2"/>
  </r>
  <r>
    <x v="1342"/>
    <x v="1"/>
    <x v="3121"/>
  </r>
  <r>
    <x v="1342"/>
    <x v="111"/>
    <x v="3122"/>
  </r>
  <r>
    <x v="1342"/>
    <x v="0"/>
    <x v="2"/>
  </r>
  <r>
    <x v="1343"/>
    <x v="102"/>
    <x v="3123"/>
  </r>
  <r>
    <x v="1343"/>
    <x v="24"/>
    <x v="3124"/>
  </r>
  <r>
    <x v="1343"/>
    <x v="10"/>
    <x v="3125"/>
  </r>
  <r>
    <x v="1343"/>
    <x v="1"/>
    <x v="3126"/>
  </r>
  <r>
    <x v="1343"/>
    <x v="111"/>
    <x v="3127"/>
  </r>
  <r>
    <x v="1343"/>
    <x v="0"/>
    <x v="2"/>
  </r>
  <r>
    <x v="1344"/>
    <x v="10"/>
    <x v="3128"/>
  </r>
  <r>
    <x v="1344"/>
    <x v="10"/>
    <x v="3129"/>
  </r>
  <r>
    <x v="1344"/>
    <x v="10"/>
    <x v="3130"/>
  </r>
  <r>
    <x v="1344"/>
    <x v="10"/>
    <x v="3131"/>
  </r>
  <r>
    <x v="1344"/>
    <x v="10"/>
    <x v="3132"/>
  </r>
  <r>
    <x v="1344"/>
    <x v="10"/>
    <x v="3133"/>
  </r>
  <r>
    <x v="1344"/>
    <x v="1"/>
    <x v="3134"/>
  </r>
  <r>
    <x v="1344"/>
    <x v="111"/>
    <x v="3135"/>
  </r>
  <r>
    <x v="1344"/>
    <x v="0"/>
    <x v="2"/>
  </r>
  <r>
    <x v="1345"/>
    <x v="82"/>
    <x v="3136"/>
  </r>
  <r>
    <x v="1345"/>
    <x v="82"/>
    <x v="3137"/>
  </r>
  <r>
    <x v="1345"/>
    <x v="10"/>
    <x v="3138"/>
  </r>
  <r>
    <x v="1345"/>
    <x v="10"/>
    <x v="3139"/>
  </r>
  <r>
    <x v="1345"/>
    <x v="10"/>
    <x v="3140"/>
  </r>
  <r>
    <x v="1345"/>
    <x v="10"/>
    <x v="3141"/>
  </r>
  <r>
    <x v="1345"/>
    <x v="10"/>
    <x v="3142"/>
  </r>
  <r>
    <x v="1345"/>
    <x v="10"/>
    <x v="3143"/>
  </r>
  <r>
    <x v="1346"/>
    <x v="82"/>
    <x v="3144"/>
  </r>
  <r>
    <x v="1346"/>
    <x v="1"/>
    <x v="3145"/>
  </r>
  <r>
    <x v="1346"/>
    <x v="1"/>
    <x v="3146"/>
  </r>
  <r>
    <x v="1346"/>
    <x v="111"/>
    <x v="3147"/>
  </r>
  <r>
    <x v="1346"/>
    <x v="0"/>
    <x v="2227"/>
  </r>
  <r>
    <x v="1347"/>
    <x v="24"/>
    <x v="3148"/>
  </r>
  <r>
    <x v="1347"/>
    <x v="10"/>
    <x v="3149"/>
  </r>
  <r>
    <x v="1347"/>
    <x v="10"/>
    <x v="3150"/>
  </r>
  <r>
    <x v="1347"/>
    <x v="10"/>
    <x v="3151"/>
  </r>
  <r>
    <x v="1347"/>
    <x v="10"/>
    <x v="3152"/>
  </r>
  <r>
    <x v="1347"/>
    <x v="10"/>
    <x v="3153"/>
  </r>
  <r>
    <x v="1347"/>
    <x v="0"/>
    <x v="2"/>
  </r>
  <r>
    <x v="1348"/>
    <x v="82"/>
    <x v="3154"/>
  </r>
  <r>
    <x v="1348"/>
    <x v="10"/>
    <x v="3155"/>
  </r>
  <r>
    <x v="1348"/>
    <x v="0"/>
    <x v="6"/>
  </r>
  <r>
    <x v="1349"/>
    <x v="82"/>
    <x v="3156"/>
  </r>
  <r>
    <x v="1349"/>
    <x v="10"/>
    <x v="3157"/>
  </r>
  <r>
    <x v="1349"/>
    <x v="10"/>
    <x v="3158"/>
  </r>
  <r>
    <x v="1349"/>
    <x v="10"/>
    <x v="3159"/>
  </r>
  <r>
    <x v="1349"/>
    <x v="10"/>
    <x v="3160"/>
  </r>
  <r>
    <x v="1349"/>
    <x v="10"/>
    <x v="3161"/>
  </r>
  <r>
    <x v="1349"/>
    <x v="0"/>
    <x v="2"/>
  </r>
  <r>
    <x v="1350"/>
    <x v="82"/>
    <x v="3109"/>
  </r>
  <r>
    <x v="1350"/>
    <x v="0"/>
    <x v="2"/>
  </r>
  <r>
    <x v="1351"/>
    <x v="82"/>
    <x v="3162"/>
  </r>
  <r>
    <x v="1351"/>
    <x v="82"/>
    <x v="3163"/>
  </r>
  <r>
    <x v="1351"/>
    <x v="82"/>
    <x v="3164"/>
  </r>
  <r>
    <x v="1351"/>
    <x v="10"/>
    <x v="3165"/>
  </r>
  <r>
    <x v="1351"/>
    <x v="10"/>
    <x v="3166"/>
  </r>
  <r>
    <x v="1351"/>
    <x v="10"/>
    <x v="3028"/>
  </r>
  <r>
    <x v="1351"/>
    <x v="10"/>
    <x v="3167"/>
  </r>
  <r>
    <x v="1351"/>
    <x v="10"/>
    <x v="3168"/>
  </r>
  <r>
    <x v="1351"/>
    <x v="10"/>
    <x v="3169"/>
  </r>
  <r>
    <x v="1351"/>
    <x v="10"/>
    <x v="3170"/>
  </r>
  <r>
    <x v="1351"/>
    <x v="0"/>
    <x v="2"/>
  </r>
  <r>
    <x v="1352"/>
    <x v="82"/>
    <x v="3109"/>
  </r>
  <r>
    <x v="1352"/>
    <x v="82"/>
    <x v="3171"/>
  </r>
  <r>
    <x v="1352"/>
    <x v="10"/>
    <x v="3172"/>
  </r>
  <r>
    <x v="1352"/>
    <x v="7"/>
    <x v="3173"/>
  </r>
  <r>
    <x v="1352"/>
    <x v="10"/>
    <x v="2984"/>
  </r>
  <r>
    <x v="1353"/>
    <x v="82"/>
    <x v="3174"/>
  </r>
  <r>
    <x v="1353"/>
    <x v="10"/>
    <x v="3175"/>
  </r>
  <r>
    <x v="1353"/>
    <x v="10"/>
    <x v="3176"/>
  </r>
  <r>
    <x v="1353"/>
    <x v="10"/>
    <x v="2381"/>
  </r>
  <r>
    <x v="1353"/>
    <x v="10"/>
    <x v="3177"/>
  </r>
  <r>
    <x v="1353"/>
    <x v="10"/>
    <x v="3178"/>
  </r>
  <r>
    <x v="1353"/>
    <x v="10"/>
    <x v="3179"/>
  </r>
  <r>
    <x v="1353"/>
    <x v="10"/>
    <x v="3180"/>
  </r>
  <r>
    <x v="1353"/>
    <x v="1"/>
    <x v="3181"/>
  </r>
  <r>
    <x v="1353"/>
    <x v="10"/>
    <x v="6"/>
  </r>
  <r>
    <x v="1354"/>
    <x v="82"/>
    <x v="3109"/>
  </r>
  <r>
    <x v="1354"/>
    <x v="82"/>
    <x v="1792"/>
  </r>
  <r>
    <x v="1354"/>
    <x v="82"/>
    <x v="3182"/>
  </r>
  <r>
    <x v="1354"/>
    <x v="10"/>
    <x v="3183"/>
  </r>
  <r>
    <x v="1354"/>
    <x v="10"/>
    <x v="3184"/>
  </r>
  <r>
    <x v="1354"/>
    <x v="1"/>
    <x v="3185"/>
  </r>
  <r>
    <x v="1354"/>
    <x v="111"/>
    <x v="3186"/>
  </r>
  <r>
    <x v="1354"/>
    <x v="111"/>
    <x v="3187"/>
  </r>
  <r>
    <x v="1354"/>
    <x v="10"/>
    <x v="2"/>
  </r>
  <r>
    <x v="1355"/>
    <x v="82"/>
    <x v="3188"/>
  </r>
  <r>
    <x v="1355"/>
    <x v="10"/>
    <x v="3189"/>
  </r>
  <r>
    <x v="1355"/>
    <x v="1"/>
    <x v="3190"/>
  </r>
  <r>
    <x v="1355"/>
    <x v="111"/>
    <x v="3191"/>
  </r>
  <r>
    <x v="1355"/>
    <x v="10"/>
    <x v="2"/>
  </r>
  <r>
    <x v="1356"/>
    <x v="1"/>
    <x v="3192"/>
  </r>
  <r>
    <x v="1356"/>
    <x v="111"/>
    <x v="3193"/>
  </r>
  <r>
    <x v="1357"/>
    <x v="82"/>
    <x v="3194"/>
  </r>
  <r>
    <x v="1357"/>
    <x v="10"/>
    <x v="3195"/>
  </r>
  <r>
    <x v="1357"/>
    <x v="10"/>
    <x v="257"/>
  </r>
  <r>
    <x v="1358"/>
    <x v="1"/>
    <x v="3008"/>
  </r>
  <r>
    <x v="1358"/>
    <x v="10"/>
    <x v="6"/>
  </r>
  <r>
    <x v="1359"/>
    <x v="1"/>
    <x v="8"/>
  </r>
  <r>
    <x v="1359"/>
    <x v="10"/>
    <x v="2"/>
  </r>
  <r>
    <x v="1360"/>
    <x v="82"/>
    <x v="3196"/>
  </r>
  <r>
    <x v="1360"/>
    <x v="10"/>
    <x v="529"/>
  </r>
  <r>
    <x v="1360"/>
    <x v="10"/>
    <x v="1654"/>
  </r>
  <r>
    <x v="1360"/>
    <x v="10"/>
    <x v="3197"/>
  </r>
  <r>
    <x v="1360"/>
    <x v="10"/>
    <x v="3198"/>
  </r>
  <r>
    <x v="1360"/>
    <x v="10"/>
    <x v="3199"/>
  </r>
  <r>
    <x v="1360"/>
    <x v="10"/>
    <x v="3200"/>
  </r>
  <r>
    <x v="1360"/>
    <x v="10"/>
    <x v="3201"/>
  </r>
  <r>
    <x v="1360"/>
    <x v="10"/>
    <x v="3202"/>
  </r>
  <r>
    <x v="1360"/>
    <x v="1"/>
    <x v="3"/>
  </r>
  <r>
    <x v="1360"/>
    <x v="10"/>
    <x v="2"/>
  </r>
  <r>
    <x v="1361"/>
    <x v="1"/>
    <x v="3"/>
  </r>
  <r>
    <x v="1361"/>
    <x v="10"/>
    <x v="2"/>
  </r>
  <r>
    <x v="1362"/>
    <x v="1"/>
    <x v="3"/>
  </r>
  <r>
    <x v="1362"/>
    <x v="10"/>
    <x v="2"/>
  </r>
  <r>
    <x v="1363"/>
    <x v="1"/>
    <x v="3"/>
  </r>
  <r>
    <x v="1363"/>
    <x v="10"/>
    <x v="6"/>
  </r>
  <r>
    <x v="1364"/>
    <x v="1"/>
    <x v="3203"/>
  </r>
  <r>
    <x v="1364"/>
    <x v="111"/>
    <x v="3204"/>
  </r>
  <r>
    <x v="1364"/>
    <x v="10"/>
    <x v="2"/>
  </r>
  <r>
    <x v="1365"/>
    <x v="1"/>
    <x v="3205"/>
  </r>
  <r>
    <x v="1365"/>
    <x v="111"/>
    <x v="3206"/>
  </r>
  <r>
    <x v="1365"/>
    <x v="10"/>
    <x v="2"/>
  </r>
  <r>
    <x v="1366"/>
    <x v="82"/>
    <x v="3207"/>
  </r>
  <r>
    <x v="1366"/>
    <x v="82"/>
    <x v="3208"/>
  </r>
  <r>
    <x v="1366"/>
    <x v="10"/>
    <x v="3209"/>
  </r>
  <r>
    <x v="1366"/>
    <x v="10"/>
    <x v="3210"/>
  </r>
  <r>
    <x v="1366"/>
    <x v="10"/>
    <x v="3211"/>
  </r>
  <r>
    <x v="1366"/>
    <x v="10"/>
    <x v="3212"/>
  </r>
  <r>
    <x v="1366"/>
    <x v="10"/>
    <x v="3213"/>
  </r>
  <r>
    <x v="1366"/>
    <x v="10"/>
    <x v="3214"/>
  </r>
  <r>
    <x v="1366"/>
    <x v="10"/>
    <x v="3215"/>
  </r>
  <r>
    <x v="1366"/>
    <x v="10"/>
    <x v="3216"/>
  </r>
  <r>
    <x v="1366"/>
    <x v="1"/>
    <x v="3217"/>
  </r>
  <r>
    <x v="1366"/>
    <x v="10"/>
    <x v="13"/>
  </r>
  <r>
    <x v="1367"/>
    <x v="82"/>
    <x v="3109"/>
  </r>
  <r>
    <x v="1367"/>
    <x v="1"/>
    <x v="3218"/>
  </r>
  <r>
    <x v="1367"/>
    <x v="111"/>
    <x v="3204"/>
  </r>
  <r>
    <x v="1367"/>
    <x v="4"/>
    <x v="3219"/>
  </r>
  <r>
    <x v="1367"/>
    <x v="10"/>
    <x v="13"/>
  </r>
  <r>
    <x v="1368"/>
    <x v="1"/>
    <x v="14"/>
  </r>
  <r>
    <x v="1368"/>
    <x v="10"/>
    <x v="6"/>
  </r>
  <r>
    <x v="1369"/>
    <x v="82"/>
    <x v="3220"/>
  </r>
  <r>
    <x v="1369"/>
    <x v="10"/>
    <x v="3221"/>
  </r>
  <r>
    <x v="1369"/>
    <x v="1"/>
    <x v="3222"/>
  </r>
  <r>
    <x v="1369"/>
    <x v="10"/>
    <x v="2"/>
  </r>
  <r>
    <x v="1370"/>
    <x v="1"/>
    <x v="3223"/>
  </r>
  <r>
    <x v="1370"/>
    <x v="111"/>
    <x v="3224"/>
  </r>
  <r>
    <x v="1370"/>
    <x v="10"/>
    <x v="2"/>
  </r>
  <r>
    <x v="1371"/>
    <x v="111"/>
    <x v="3225"/>
  </r>
  <r>
    <x v="1371"/>
    <x v="10"/>
    <x v="2"/>
  </r>
  <r>
    <x v="1372"/>
    <x v="82"/>
    <x v="3226"/>
  </r>
  <r>
    <x v="1372"/>
    <x v="10"/>
    <x v="3227"/>
  </r>
  <r>
    <x v="1372"/>
    <x v="10"/>
    <x v="2"/>
  </r>
  <r>
    <x v="1373"/>
    <x v="10"/>
    <x v="2982"/>
  </r>
  <r>
    <x v="1373"/>
    <x v="102"/>
    <x v="3228"/>
  </r>
  <r>
    <x v="1373"/>
    <x v="10"/>
    <x v="6"/>
  </r>
  <r>
    <x v="1374"/>
    <x v="1"/>
    <x v="3229"/>
  </r>
  <r>
    <x v="1374"/>
    <x v="102"/>
    <x v="3230"/>
  </r>
  <r>
    <x v="1374"/>
    <x v="10"/>
    <x v="2"/>
  </r>
  <r>
    <x v="1375"/>
    <x v="82"/>
    <x v="3231"/>
  </r>
  <r>
    <x v="1375"/>
    <x v="10"/>
    <x v="3232"/>
  </r>
  <r>
    <x v="1375"/>
    <x v="1"/>
    <x v="3233"/>
  </r>
  <r>
    <x v="1375"/>
    <x v="111"/>
    <x v="2034"/>
  </r>
  <r>
    <x v="1375"/>
    <x v="10"/>
    <x v="2"/>
  </r>
  <r>
    <x v="1376"/>
    <x v="1"/>
    <x v="3234"/>
  </r>
  <r>
    <x v="1376"/>
    <x v="111"/>
    <x v="3235"/>
  </r>
  <r>
    <x v="1376"/>
    <x v="102"/>
    <x v="3072"/>
  </r>
  <r>
    <x v="1376"/>
    <x v="10"/>
    <x v="2"/>
  </r>
  <r>
    <x v="1377"/>
    <x v="1"/>
    <x v="3236"/>
  </r>
  <r>
    <x v="1377"/>
    <x v="8"/>
    <x v="3237"/>
  </r>
  <r>
    <x v="1377"/>
    <x v="10"/>
    <x v="2"/>
  </r>
  <r>
    <x v="1378"/>
    <x v="1"/>
    <x v="3"/>
  </r>
  <r>
    <x v="1378"/>
    <x v="10"/>
    <x v="6"/>
  </r>
  <r>
    <x v="1379"/>
    <x v="102"/>
    <x v="3238"/>
  </r>
  <r>
    <x v="1379"/>
    <x v="102"/>
    <x v="3228"/>
  </r>
  <r>
    <x v="1379"/>
    <x v="10"/>
    <x v="2"/>
  </r>
  <r>
    <x v="1380"/>
    <x v="82"/>
    <x v="3239"/>
  </r>
  <r>
    <x v="1380"/>
    <x v="10"/>
    <x v="3240"/>
  </r>
  <r>
    <x v="1380"/>
    <x v="10"/>
    <x v="2"/>
  </r>
  <r>
    <x v="1381"/>
    <x v="10"/>
    <x v="2"/>
  </r>
  <r>
    <x v="1382"/>
    <x v="10"/>
    <x v="3241"/>
  </r>
  <r>
    <x v="1382"/>
    <x v="10"/>
    <x v="3242"/>
  </r>
  <r>
    <x v="1382"/>
    <x v="10"/>
    <x v="43"/>
  </r>
  <r>
    <x v="1382"/>
    <x v="1"/>
    <x v="3243"/>
  </r>
  <r>
    <x v="1382"/>
    <x v="102"/>
    <x v="3244"/>
  </r>
  <r>
    <x v="1382"/>
    <x v="10"/>
    <x v="2"/>
  </r>
  <r>
    <x v="1383"/>
    <x v="1"/>
    <x v="3"/>
  </r>
  <r>
    <x v="1383"/>
    <x v="10"/>
    <x v="6"/>
  </r>
  <r>
    <x v="1384"/>
    <x v="10"/>
    <x v="3245"/>
  </r>
  <r>
    <x v="1384"/>
    <x v="1"/>
    <x v="3246"/>
  </r>
  <r>
    <x v="1384"/>
    <x v="10"/>
    <x v="2"/>
  </r>
  <r>
    <x v="1385"/>
    <x v="1"/>
    <x v="3247"/>
  </r>
  <r>
    <x v="1385"/>
    <x v="8"/>
    <x v="3248"/>
  </r>
  <r>
    <x v="1385"/>
    <x v="10"/>
    <x v="2"/>
  </r>
  <r>
    <x v="1386"/>
    <x v="1"/>
    <x v="2642"/>
  </r>
  <r>
    <x v="1386"/>
    <x v="10"/>
    <x v="2"/>
  </r>
  <r>
    <x v="1387"/>
    <x v="10"/>
    <x v="1107"/>
  </r>
  <r>
    <x v="1387"/>
    <x v="1"/>
    <x v="3249"/>
  </r>
  <r>
    <x v="1387"/>
    <x v="102"/>
    <x v="3250"/>
  </r>
  <r>
    <x v="1387"/>
    <x v="10"/>
    <x v="2"/>
  </r>
  <r>
    <x v="1388"/>
    <x v="1"/>
    <x v="3251"/>
  </r>
  <r>
    <x v="1388"/>
    <x v="102"/>
    <x v="3054"/>
  </r>
  <r>
    <x v="1388"/>
    <x v="10"/>
    <x v="6"/>
  </r>
  <r>
    <x v="1389"/>
    <x v="82"/>
    <x v="3252"/>
  </r>
  <r>
    <x v="1389"/>
    <x v="82"/>
    <x v="3253"/>
  </r>
  <r>
    <x v="1389"/>
    <x v="10"/>
    <x v="3254"/>
  </r>
  <r>
    <x v="1389"/>
    <x v="10"/>
    <x v="3255"/>
  </r>
  <r>
    <x v="1389"/>
    <x v="10"/>
    <x v="3256"/>
  </r>
  <r>
    <x v="1389"/>
    <x v="10"/>
    <x v="3257"/>
  </r>
  <r>
    <x v="1389"/>
    <x v="10"/>
    <x v="3258"/>
  </r>
  <r>
    <x v="1389"/>
    <x v="10"/>
    <x v="3259"/>
  </r>
  <r>
    <x v="1389"/>
    <x v="102"/>
    <x v="3260"/>
  </r>
  <r>
    <x v="1389"/>
    <x v="102"/>
    <x v="3261"/>
  </r>
  <r>
    <x v="1389"/>
    <x v="10"/>
    <x v="13"/>
  </r>
  <r>
    <x v="1390"/>
    <x v="82"/>
    <x v="3144"/>
  </r>
  <r>
    <x v="1390"/>
    <x v="1"/>
    <x v="3262"/>
  </r>
  <r>
    <x v="1390"/>
    <x v="102"/>
    <x v="3263"/>
  </r>
  <r>
    <x v="1390"/>
    <x v="102"/>
    <x v="3264"/>
  </r>
  <r>
    <x v="1390"/>
    <x v="10"/>
    <x v="13"/>
  </r>
  <r>
    <x v="1391"/>
    <x v="1"/>
    <x v="14"/>
  </r>
  <r>
    <x v="1391"/>
    <x v="10"/>
    <x v="13"/>
  </r>
  <r>
    <x v="1392"/>
    <x v="82"/>
    <x v="3265"/>
  </r>
  <r>
    <x v="1392"/>
    <x v="82"/>
    <x v="3266"/>
  </r>
  <r>
    <x v="1392"/>
    <x v="10"/>
    <x v="3267"/>
  </r>
  <r>
    <x v="1392"/>
    <x v="10"/>
    <x v="3268"/>
  </r>
  <r>
    <x v="1392"/>
    <x v="10"/>
    <x v="3269"/>
  </r>
  <r>
    <x v="1392"/>
    <x v="10"/>
    <x v="3270"/>
  </r>
  <r>
    <x v="1392"/>
    <x v="10"/>
    <x v="3271"/>
  </r>
  <r>
    <x v="1392"/>
    <x v="10"/>
    <x v="3272"/>
  </r>
  <r>
    <x v="1392"/>
    <x v="10"/>
    <x v="3273"/>
  </r>
  <r>
    <x v="1392"/>
    <x v="10"/>
    <x v="1792"/>
  </r>
  <r>
    <x v="1392"/>
    <x v="10"/>
    <x v="3274"/>
  </r>
  <r>
    <x v="1392"/>
    <x v="10"/>
    <x v="3275"/>
  </r>
  <r>
    <x v="1392"/>
    <x v="1"/>
    <x v="14"/>
  </r>
  <r>
    <x v="1392"/>
    <x v="10"/>
    <x v="13"/>
  </r>
  <r>
    <x v="1393"/>
    <x v="82"/>
    <x v="3276"/>
  </r>
  <r>
    <x v="1393"/>
    <x v="1"/>
    <x v="3277"/>
  </r>
  <r>
    <x v="1393"/>
    <x v="111"/>
    <x v="3278"/>
  </r>
  <r>
    <x v="1393"/>
    <x v="10"/>
    <x v="6"/>
  </r>
  <r>
    <x v="1394"/>
    <x v="1"/>
    <x v="3279"/>
  </r>
  <r>
    <x v="1394"/>
    <x v="111"/>
    <x v="3206"/>
  </r>
  <r>
    <x v="1394"/>
    <x v="10"/>
    <x v="2"/>
  </r>
  <r>
    <x v="1395"/>
    <x v="10"/>
    <x v="1107"/>
  </r>
  <r>
    <x v="1395"/>
    <x v="10"/>
    <x v="1107"/>
  </r>
  <r>
    <x v="1395"/>
    <x v="1"/>
    <x v="3280"/>
  </r>
  <r>
    <x v="1395"/>
    <x v="111"/>
    <x v="3204"/>
  </r>
  <r>
    <x v="1395"/>
    <x v="10"/>
    <x v="2"/>
  </r>
  <r>
    <x v="1396"/>
    <x v="1"/>
    <x v="3281"/>
  </r>
  <r>
    <x v="1396"/>
    <x v="111"/>
    <x v="1632"/>
  </r>
  <r>
    <x v="1396"/>
    <x v="10"/>
    <x v="2"/>
  </r>
  <r>
    <x v="1397"/>
    <x v="1"/>
    <x v="3"/>
  </r>
  <r>
    <x v="1397"/>
    <x v="10"/>
    <x v="2"/>
  </r>
  <r>
    <x v="1398"/>
    <x v="10"/>
    <x v="419"/>
  </r>
  <r>
    <x v="1398"/>
    <x v="5"/>
    <x v="32"/>
  </r>
  <r>
    <x v="1398"/>
    <x v="10"/>
    <x v="33"/>
  </r>
  <r>
    <x v="1398"/>
    <x v="1"/>
    <x v="32"/>
  </r>
  <r>
    <x v="1398"/>
    <x v="1"/>
    <x v="3282"/>
  </r>
  <r>
    <x v="1398"/>
    <x v="5"/>
    <x v="33"/>
  </r>
  <r>
    <x v="1398"/>
    <x v="10"/>
    <x v="6"/>
  </r>
  <r>
    <x v="1399"/>
    <x v="82"/>
    <x v="1599"/>
  </r>
  <r>
    <x v="1399"/>
    <x v="82"/>
    <x v="2872"/>
  </r>
  <r>
    <x v="1399"/>
    <x v="10"/>
    <x v="3283"/>
  </r>
  <r>
    <x v="1399"/>
    <x v="10"/>
    <x v="3284"/>
  </r>
  <r>
    <x v="1399"/>
    <x v="10"/>
    <x v="3285"/>
  </r>
  <r>
    <x v="1399"/>
    <x v="10"/>
    <x v="3286"/>
  </r>
  <r>
    <x v="1399"/>
    <x v="10"/>
    <x v="3287"/>
  </r>
  <r>
    <x v="1399"/>
    <x v="10"/>
    <x v="3288"/>
  </r>
  <r>
    <x v="1399"/>
    <x v="10"/>
    <x v="3289"/>
  </r>
  <r>
    <x v="1399"/>
    <x v="1"/>
    <x v="8"/>
  </r>
  <r>
    <x v="1399"/>
    <x v="10"/>
    <x v="2"/>
  </r>
  <r>
    <x v="1400"/>
    <x v="82"/>
    <x v="3290"/>
  </r>
  <r>
    <x v="1400"/>
    <x v="10"/>
    <x v="3291"/>
  </r>
  <r>
    <x v="1400"/>
    <x v="10"/>
    <x v="3292"/>
  </r>
  <r>
    <x v="1400"/>
    <x v="10"/>
    <x v="3293"/>
  </r>
  <r>
    <x v="1400"/>
    <x v="10"/>
    <x v="3294"/>
  </r>
  <r>
    <x v="1400"/>
    <x v="1"/>
    <x v="3"/>
  </r>
  <r>
    <x v="1400"/>
    <x v="10"/>
    <x v="2"/>
  </r>
  <r>
    <x v="1401"/>
    <x v="1"/>
    <x v="3"/>
  </r>
  <r>
    <x v="1401"/>
    <x v="10"/>
    <x v="2"/>
  </r>
  <r>
    <x v="1402"/>
    <x v="1"/>
    <x v="3"/>
  </r>
  <r>
    <x v="1402"/>
    <x v="10"/>
    <x v="2"/>
  </r>
  <r>
    <x v="1403"/>
    <x v="10"/>
    <x v="3295"/>
  </r>
  <r>
    <x v="1403"/>
    <x v="10"/>
    <x v="3296"/>
  </r>
  <r>
    <x v="1403"/>
    <x v="10"/>
    <x v="3297"/>
  </r>
  <r>
    <x v="1403"/>
    <x v="10"/>
    <x v="3298"/>
  </r>
  <r>
    <x v="1403"/>
    <x v="10"/>
    <x v="3299"/>
  </r>
  <r>
    <x v="1403"/>
    <x v="1"/>
    <x v="3300"/>
  </r>
  <r>
    <x v="1403"/>
    <x v="111"/>
    <x v="1886"/>
  </r>
  <r>
    <x v="1403"/>
    <x v="10"/>
    <x v="6"/>
  </r>
  <r>
    <x v="1404"/>
    <x v="10"/>
    <x v="13"/>
  </r>
  <r>
    <x v="1405"/>
    <x v="1"/>
    <x v="3301"/>
  </r>
  <r>
    <x v="1405"/>
    <x v="1"/>
    <x v="3302"/>
  </r>
  <r>
    <x v="1405"/>
    <x v="112"/>
    <x v="3303"/>
  </r>
  <r>
    <x v="1405"/>
    <x v="10"/>
    <x v="13"/>
  </r>
  <r>
    <x v="1406"/>
    <x v="82"/>
    <x v="3304"/>
  </r>
  <r>
    <x v="1406"/>
    <x v="10"/>
    <x v="3305"/>
  </r>
  <r>
    <x v="1406"/>
    <x v="10"/>
    <x v="2751"/>
  </r>
  <r>
    <x v="1406"/>
    <x v="10"/>
    <x v="3306"/>
  </r>
  <r>
    <x v="1406"/>
    <x v="10"/>
    <x v="3307"/>
  </r>
  <r>
    <x v="1406"/>
    <x v="10"/>
    <x v="13"/>
  </r>
  <r>
    <x v="1407"/>
    <x v="82"/>
    <x v="3308"/>
  </r>
  <r>
    <x v="1407"/>
    <x v="10"/>
    <x v="3309"/>
  </r>
  <r>
    <x v="1407"/>
    <x v="10"/>
    <x v="3310"/>
  </r>
  <r>
    <x v="1407"/>
    <x v="10"/>
    <x v="3311"/>
  </r>
  <r>
    <x v="1407"/>
    <x v="10"/>
    <x v="3312"/>
  </r>
  <r>
    <x v="1407"/>
    <x v="112"/>
    <x v="3313"/>
  </r>
  <r>
    <x v="1407"/>
    <x v="111"/>
    <x v="3314"/>
  </r>
  <r>
    <x v="1407"/>
    <x v="10"/>
    <x v="2"/>
  </r>
  <r>
    <x v="1408"/>
    <x v="1"/>
    <x v="3315"/>
  </r>
  <r>
    <x v="1409"/>
    <x v="10"/>
    <x v="23"/>
  </r>
  <r>
    <x v="1410"/>
    <x v="1"/>
    <x v="3024"/>
  </r>
  <r>
    <x v="1410"/>
    <x v="10"/>
    <x v="2"/>
  </r>
  <r>
    <x v="1411"/>
    <x v="1"/>
    <x v="3"/>
  </r>
  <r>
    <x v="1411"/>
    <x v="10"/>
    <x v="2"/>
  </r>
  <r>
    <x v="1412"/>
    <x v="1"/>
    <x v="3"/>
  </r>
  <r>
    <x v="1413"/>
    <x v="111"/>
    <x v="3316"/>
  </r>
  <r>
    <x v="1413"/>
    <x v="10"/>
    <x v="3317"/>
  </r>
  <r>
    <x v="1414"/>
    <x v="111"/>
    <x v="3318"/>
  </r>
  <r>
    <x v="1414"/>
    <x v="10"/>
    <x v="3319"/>
  </r>
  <r>
    <x v="1414"/>
    <x v="10"/>
    <x v="3320"/>
  </r>
  <r>
    <x v="1414"/>
    <x v="10"/>
    <x v="3321"/>
  </r>
  <r>
    <x v="1414"/>
    <x v="10"/>
    <x v="3322"/>
  </r>
  <r>
    <x v="1415"/>
    <x v="111"/>
    <x v="3323"/>
  </r>
  <r>
    <x v="1415"/>
    <x v="10"/>
    <x v="3324"/>
  </r>
  <r>
    <x v="1415"/>
    <x v="10"/>
    <x v="1804"/>
  </r>
  <r>
    <x v="1416"/>
    <x v="10"/>
    <x v="3325"/>
  </r>
  <r>
    <x v="1416"/>
    <x v="10"/>
    <x v="3326"/>
  </r>
  <r>
    <x v="1416"/>
    <x v="10"/>
    <x v="3327"/>
  </r>
  <r>
    <x v="1417"/>
    <x v="111"/>
    <x v="3328"/>
  </r>
  <r>
    <x v="1417"/>
    <x v="10"/>
    <x v="3329"/>
  </r>
  <r>
    <x v="1418"/>
    <x v="82"/>
    <x v="3330"/>
  </r>
  <r>
    <x v="1418"/>
    <x v="82"/>
    <x v="3331"/>
  </r>
  <r>
    <x v="1418"/>
    <x v="10"/>
    <x v="3332"/>
  </r>
  <r>
    <x v="1418"/>
    <x v="10"/>
    <x v="3333"/>
  </r>
  <r>
    <x v="1419"/>
    <x v="111"/>
    <x v="3334"/>
  </r>
  <r>
    <x v="1419"/>
    <x v="111"/>
    <x v="3335"/>
  </r>
  <r>
    <x v="1419"/>
    <x v="10"/>
    <x v="3336"/>
  </r>
  <r>
    <x v="1419"/>
    <x v="10"/>
    <x v="3337"/>
  </r>
  <r>
    <x v="1420"/>
    <x v="111"/>
    <x v="3338"/>
  </r>
  <r>
    <x v="1420"/>
    <x v="111"/>
    <x v="3335"/>
  </r>
  <r>
    <x v="1420"/>
    <x v="10"/>
    <x v="3337"/>
  </r>
  <r>
    <x v="1420"/>
    <x v="10"/>
    <x v="3339"/>
  </r>
  <r>
    <x v="1420"/>
    <x v="10"/>
    <x v="3340"/>
  </r>
  <r>
    <x v="1421"/>
    <x v="111"/>
    <x v="3341"/>
  </r>
  <r>
    <x v="1421"/>
    <x v="10"/>
    <x v="3342"/>
  </r>
  <r>
    <x v="1422"/>
    <x v="111"/>
    <x v="3343"/>
  </r>
  <r>
    <x v="1422"/>
    <x v="10"/>
    <x v="3344"/>
  </r>
  <r>
    <x v="1423"/>
    <x v="82"/>
    <x v="3345"/>
  </r>
  <r>
    <x v="1423"/>
    <x v="111"/>
    <x v="3346"/>
  </r>
  <r>
    <x v="1423"/>
    <x v="10"/>
    <x v="1631"/>
  </r>
  <r>
    <x v="1423"/>
    <x v="10"/>
    <x v="3347"/>
  </r>
  <r>
    <x v="1423"/>
    <x v="10"/>
    <x v="3348"/>
  </r>
  <r>
    <x v="1423"/>
    <x v="10"/>
    <x v="3349"/>
  </r>
  <r>
    <x v="1423"/>
    <x v="10"/>
    <x v="3350"/>
  </r>
  <r>
    <x v="1423"/>
    <x v="10"/>
    <x v="3351"/>
  </r>
  <r>
    <x v="1424"/>
    <x v="82"/>
    <x v="3103"/>
  </r>
  <r>
    <x v="1424"/>
    <x v="10"/>
    <x v="3352"/>
  </r>
  <r>
    <x v="1424"/>
    <x v="10"/>
    <x v="3353"/>
  </r>
  <r>
    <x v="1424"/>
    <x v="10"/>
    <x v="3354"/>
  </r>
  <r>
    <x v="1424"/>
    <x v="10"/>
    <x v="3352"/>
  </r>
  <r>
    <x v="1424"/>
    <x v="10"/>
    <x v="3355"/>
  </r>
  <r>
    <x v="1424"/>
    <x v="10"/>
    <x v="3356"/>
  </r>
  <r>
    <x v="1424"/>
    <x v="10"/>
    <x v="3357"/>
  </r>
  <r>
    <x v="1425"/>
    <x v="111"/>
    <x v="3358"/>
  </r>
  <r>
    <x v="1425"/>
    <x v="10"/>
    <x v="3359"/>
  </r>
  <r>
    <x v="1425"/>
    <x v="10"/>
    <x v="3360"/>
  </r>
  <r>
    <x v="1425"/>
    <x v="10"/>
    <x v="3361"/>
  </r>
  <r>
    <x v="1425"/>
    <x v="10"/>
    <x v="3362"/>
  </r>
  <r>
    <x v="1425"/>
    <x v="10"/>
    <x v="3363"/>
  </r>
  <r>
    <x v="1426"/>
    <x v="111"/>
    <x v="3364"/>
  </r>
  <r>
    <x v="1426"/>
    <x v="10"/>
    <x v="3365"/>
  </r>
  <r>
    <x v="1427"/>
    <x v="111"/>
    <x v="3366"/>
  </r>
  <r>
    <x v="1427"/>
    <x v="10"/>
    <x v="3367"/>
  </r>
  <r>
    <x v="1428"/>
    <x v="82"/>
    <x v="3117"/>
  </r>
  <r>
    <x v="1428"/>
    <x v="10"/>
    <x v="3118"/>
  </r>
  <r>
    <x v="1429"/>
    <x v="82"/>
    <x v="3368"/>
  </r>
  <r>
    <x v="1429"/>
    <x v="82"/>
    <x v="3154"/>
  </r>
  <r>
    <x v="1429"/>
    <x v="10"/>
    <x v="3155"/>
  </r>
  <r>
    <x v="1429"/>
    <x v="10"/>
    <x v="3369"/>
  </r>
  <r>
    <x v="1429"/>
    <x v="10"/>
    <x v="3370"/>
  </r>
  <r>
    <x v="1429"/>
    <x v="10"/>
    <x v="3371"/>
  </r>
  <r>
    <x v="1429"/>
    <x v="10"/>
    <x v="3372"/>
  </r>
  <r>
    <x v="1429"/>
    <x v="10"/>
    <x v="3373"/>
  </r>
  <r>
    <x v="1430"/>
    <x v="82"/>
    <x v="3156"/>
  </r>
  <r>
    <x v="1430"/>
    <x v="10"/>
    <x v="3374"/>
  </r>
  <r>
    <x v="1430"/>
    <x v="10"/>
    <x v="21"/>
  </r>
  <r>
    <x v="1430"/>
    <x v="10"/>
    <x v="3375"/>
  </r>
  <r>
    <x v="1430"/>
    <x v="10"/>
    <x v="3376"/>
  </r>
  <r>
    <x v="1430"/>
    <x v="10"/>
    <x v="3377"/>
  </r>
  <r>
    <x v="1431"/>
    <x v="82"/>
    <x v="3378"/>
  </r>
  <r>
    <x v="1431"/>
    <x v="40"/>
    <x v="3379"/>
  </r>
  <r>
    <x v="1431"/>
    <x v="10"/>
    <x v="1114"/>
  </r>
  <r>
    <x v="1431"/>
    <x v="40"/>
    <x v="7"/>
  </r>
  <r>
    <x v="1432"/>
    <x v="82"/>
    <x v="3380"/>
  </r>
  <r>
    <x v="1432"/>
    <x v="111"/>
    <x v="3381"/>
  </r>
  <r>
    <x v="1432"/>
    <x v="10"/>
    <x v="422"/>
  </r>
  <r>
    <x v="1432"/>
    <x v="10"/>
    <x v="192"/>
  </r>
  <r>
    <x v="1432"/>
    <x v="10"/>
    <x v="3382"/>
  </r>
  <r>
    <x v="1432"/>
    <x v="10"/>
    <x v="3383"/>
  </r>
  <r>
    <x v="1432"/>
    <x v="10"/>
    <x v="3384"/>
  </r>
  <r>
    <x v="1432"/>
    <x v="10"/>
    <x v="3385"/>
  </r>
  <r>
    <x v="1432"/>
    <x v="10"/>
    <x v="3386"/>
  </r>
  <r>
    <x v="1432"/>
    <x v="10"/>
    <x v="3387"/>
  </r>
  <r>
    <x v="1433"/>
    <x v="10"/>
    <x v="3388"/>
  </r>
  <r>
    <x v="1433"/>
    <x v="82"/>
    <x v="3389"/>
  </r>
  <r>
    <x v="1433"/>
    <x v="82"/>
    <x v="3207"/>
  </r>
  <r>
    <x v="1433"/>
    <x v="10"/>
    <x v="3390"/>
  </r>
  <r>
    <x v="1433"/>
    <x v="10"/>
    <x v="1565"/>
  </r>
  <r>
    <x v="1433"/>
    <x v="10"/>
    <x v="3391"/>
  </r>
  <r>
    <x v="1433"/>
    <x v="10"/>
    <x v="3392"/>
  </r>
  <r>
    <x v="1433"/>
    <x v="10"/>
    <x v="3393"/>
  </r>
  <r>
    <x v="1433"/>
    <x v="10"/>
    <x v="3394"/>
  </r>
  <r>
    <x v="1433"/>
    <x v="10"/>
    <x v="3395"/>
  </r>
  <r>
    <x v="1433"/>
    <x v="10"/>
    <x v="3396"/>
  </r>
  <r>
    <x v="1433"/>
    <x v="10"/>
    <x v="3397"/>
  </r>
  <r>
    <x v="1434"/>
    <x v="82"/>
    <x v="1273"/>
  </r>
  <r>
    <x v="1434"/>
    <x v="10"/>
    <x v="3398"/>
  </r>
  <r>
    <x v="1435"/>
    <x v="111"/>
    <x v="3399"/>
  </r>
  <r>
    <x v="1435"/>
    <x v="10"/>
    <x v="3400"/>
  </r>
  <r>
    <x v="1436"/>
    <x v="111"/>
    <x v="3401"/>
  </r>
  <r>
    <x v="1436"/>
    <x v="10"/>
    <x v="3402"/>
  </r>
  <r>
    <x v="1436"/>
    <x v="10"/>
    <x v="3403"/>
  </r>
  <r>
    <x v="1436"/>
    <x v="10"/>
    <x v="3404"/>
  </r>
  <r>
    <x v="1436"/>
    <x v="10"/>
    <x v="3405"/>
  </r>
  <r>
    <x v="1436"/>
    <x v="10"/>
    <x v="3406"/>
  </r>
  <r>
    <x v="1437"/>
    <x v="111"/>
    <x v="3407"/>
  </r>
  <r>
    <x v="1437"/>
    <x v="10"/>
    <x v="3408"/>
  </r>
  <r>
    <x v="1438"/>
    <x v="10"/>
    <x v="3409"/>
  </r>
  <r>
    <x v="1438"/>
    <x v="10"/>
    <x v="3410"/>
  </r>
  <r>
    <x v="1439"/>
    <x v="82"/>
    <x v="3411"/>
  </r>
  <r>
    <x v="1439"/>
    <x v="10"/>
    <x v="3412"/>
  </r>
  <r>
    <x v="1439"/>
    <x v="10"/>
    <x v="3413"/>
  </r>
  <r>
    <x v="1439"/>
    <x v="10"/>
    <x v="3414"/>
  </r>
  <r>
    <x v="1439"/>
    <x v="10"/>
    <x v="3415"/>
  </r>
  <r>
    <x v="1439"/>
    <x v="10"/>
    <x v="3416"/>
  </r>
  <r>
    <x v="1440"/>
    <x v="111"/>
    <x v="3417"/>
  </r>
  <r>
    <x v="1440"/>
    <x v="10"/>
    <x v="3418"/>
  </r>
  <r>
    <x v="1441"/>
    <x v="111"/>
    <x v="3419"/>
  </r>
  <r>
    <x v="1441"/>
    <x v="10"/>
    <x v="3420"/>
  </r>
  <r>
    <x v="1441"/>
    <x v="10"/>
    <x v="3421"/>
  </r>
  <r>
    <x v="1441"/>
    <x v="10"/>
    <x v="3422"/>
  </r>
  <r>
    <x v="1441"/>
    <x v="10"/>
    <x v="3343"/>
  </r>
  <r>
    <x v="1441"/>
    <x v="10"/>
    <x v="3423"/>
  </r>
  <r>
    <x v="1441"/>
    <x v="10"/>
    <x v="3424"/>
  </r>
  <r>
    <x v="1442"/>
    <x v="82"/>
    <x v="3425"/>
  </r>
  <r>
    <x v="1442"/>
    <x v="10"/>
    <x v="3426"/>
  </r>
  <r>
    <x v="1442"/>
    <x v="10"/>
    <x v="3427"/>
  </r>
  <r>
    <x v="1442"/>
    <x v="10"/>
    <x v="3428"/>
  </r>
  <r>
    <x v="1442"/>
    <x v="10"/>
    <x v="3429"/>
  </r>
  <r>
    <x v="1443"/>
    <x v="102"/>
    <x v="3430"/>
  </r>
  <r>
    <x v="1444"/>
    <x v="10"/>
    <x v="3431"/>
  </r>
  <r>
    <x v="1444"/>
    <x v="10"/>
    <x v="3432"/>
  </r>
  <r>
    <x v="1445"/>
    <x v="82"/>
    <x v="3188"/>
  </r>
  <r>
    <x v="1445"/>
    <x v="10"/>
    <x v="3189"/>
  </r>
  <r>
    <x v="1446"/>
    <x v="10"/>
    <x v="16"/>
  </r>
  <r>
    <x v="1446"/>
    <x v="10"/>
    <x v="3138"/>
  </r>
  <r>
    <x v="1446"/>
    <x v="10"/>
    <x v="2463"/>
  </r>
  <r>
    <x v="1447"/>
    <x v="82"/>
    <x v="3433"/>
  </r>
  <r>
    <x v="1447"/>
    <x v="10"/>
    <x v="3434"/>
  </r>
  <r>
    <x v="1447"/>
    <x v="10"/>
    <x v="3435"/>
  </r>
  <r>
    <x v="1447"/>
    <x v="10"/>
    <x v="3436"/>
  </r>
  <r>
    <x v="1448"/>
    <x v="60"/>
    <x v="1489"/>
  </r>
  <r>
    <x v="1448"/>
    <x v="82"/>
    <x v="3437"/>
  </r>
  <r>
    <x v="1448"/>
    <x v="10"/>
    <x v="3438"/>
  </r>
  <r>
    <x v="1449"/>
    <x v="111"/>
    <x v="3439"/>
  </r>
  <r>
    <x v="1449"/>
    <x v="10"/>
    <x v="2561"/>
  </r>
  <r>
    <x v="1449"/>
    <x v="10"/>
    <x v="3440"/>
  </r>
  <r>
    <x v="1449"/>
    <x v="10"/>
    <x v="3441"/>
  </r>
  <r>
    <x v="1449"/>
    <x v="10"/>
    <x v="3442"/>
  </r>
  <r>
    <x v="1450"/>
    <x v="10"/>
    <x v="344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2" cacheId="2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A3:B117" firstHeaderRow="1" firstDataRow="1" firstDataCol="1"/>
  <pivotFields count="3">
    <pivotField compact="0" showAll="0">
      <items count="14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t="default"/>
      </items>
    </pivotField>
    <pivotField axis="axisRow" compact="0" showAll="0">
      <items count="114">
        <item x="0"/>
        <item x="99"/>
        <item x="32"/>
        <item x="82"/>
        <item x="8"/>
        <item x="19"/>
        <item x="52"/>
        <item x="75"/>
        <item x="64"/>
        <item x="77"/>
        <item x="30"/>
        <item x="56"/>
        <item x="2"/>
        <item x="97"/>
        <item x="78"/>
        <item x="83"/>
        <item x="55"/>
        <item x="60"/>
        <item x="47"/>
        <item x="50"/>
        <item x="98"/>
        <item x="109"/>
        <item x="13"/>
        <item x="66"/>
        <item x="18"/>
        <item x="57"/>
        <item x="93"/>
        <item x="101"/>
        <item x="107"/>
        <item x="7"/>
        <item x="4"/>
        <item x="71"/>
        <item x="89"/>
        <item x="80"/>
        <item x="87"/>
        <item x="84"/>
        <item x="5"/>
        <item x="23"/>
        <item x="81"/>
        <item x="85"/>
        <item x="90"/>
        <item x="92"/>
        <item x="16"/>
        <item x="17"/>
        <item x="20"/>
        <item x="69"/>
        <item x="68"/>
        <item x="72"/>
        <item x="41"/>
        <item x="28"/>
        <item x="31"/>
        <item x="65"/>
        <item x="86"/>
        <item x="48"/>
        <item x="39"/>
        <item x="70"/>
        <item x="42"/>
        <item x="43"/>
        <item x="111"/>
        <item x="96"/>
        <item x="44"/>
        <item x="33"/>
        <item x="49"/>
        <item x="53"/>
        <item x="76"/>
        <item x="110"/>
        <item x="73"/>
        <item x="61"/>
        <item x="103"/>
        <item x="106"/>
        <item x="40"/>
        <item x="25"/>
        <item x="29"/>
        <item x="91"/>
        <item x="102"/>
        <item x="24"/>
        <item x="62"/>
        <item x="100"/>
        <item x="36"/>
        <item x="14"/>
        <item x="58"/>
        <item x="104"/>
        <item x="63"/>
        <item x="34"/>
        <item x="51"/>
        <item x="15"/>
        <item x="46"/>
        <item x="79"/>
        <item x="11"/>
        <item x="108"/>
        <item x="45"/>
        <item x="12"/>
        <item x="54"/>
        <item x="59"/>
        <item x="67"/>
        <item x="27"/>
        <item x="26"/>
        <item x="35"/>
        <item x="22"/>
        <item x="21"/>
        <item x="37"/>
        <item x="74"/>
        <item x="38"/>
        <item x="95"/>
        <item x="105"/>
        <item x="6"/>
        <item x="88"/>
        <item x="94"/>
        <item x="3"/>
        <item x="9"/>
        <item x="112"/>
        <item x="1"/>
        <item x="10"/>
        <item t="default"/>
      </items>
    </pivotField>
    <pivotField dataField="1" compact="0" showAll="0">
      <items count="3445">
        <item x="2476"/>
        <item x="2449"/>
        <item x="2486"/>
        <item x="2152"/>
        <item x="2154"/>
        <item x="1287"/>
        <item x="849"/>
        <item x="1441"/>
        <item x="828"/>
        <item x="1118"/>
        <item x="625"/>
        <item x="1413"/>
        <item x="1412"/>
        <item x="560"/>
        <item x="888"/>
        <item x="688"/>
        <item x="1407"/>
        <item x="1406"/>
        <item x="739"/>
        <item x="1353"/>
        <item x="1345"/>
        <item x="1340"/>
        <item x="832"/>
        <item x="1224"/>
        <item x="1297"/>
        <item x="865"/>
        <item x="558"/>
        <item x="543"/>
        <item x="831"/>
        <item x="827"/>
        <item x="1997"/>
        <item x="534"/>
        <item x="1379"/>
        <item x="825"/>
        <item x="1364"/>
        <item x="1358"/>
        <item x="3047"/>
        <item x="3040"/>
        <item x="754"/>
        <item x="1308"/>
        <item x="1464"/>
        <item x="861"/>
        <item x="523"/>
        <item x="286"/>
        <item x="741"/>
        <item x="1305"/>
        <item x="1291"/>
        <item x="1902"/>
        <item x="887"/>
        <item x="404"/>
        <item x="398"/>
        <item x="1279"/>
        <item x="1991"/>
        <item x="37"/>
        <item x="820"/>
        <item x="1917"/>
        <item x="1916"/>
        <item x="1341"/>
        <item x="1759"/>
        <item x="1751"/>
        <item x="1298"/>
        <item x="1748"/>
        <item x="837"/>
        <item x="541"/>
        <item x="1645"/>
        <item x="670"/>
        <item x="674"/>
        <item x="1210"/>
        <item x="703"/>
        <item x="719"/>
        <item x="384"/>
        <item x="852"/>
        <item x="222"/>
        <item x="1216"/>
        <item x="1150"/>
        <item x="1128"/>
        <item x="1135"/>
        <item x="2095"/>
        <item x="681"/>
        <item x="1208"/>
        <item x="710"/>
        <item x="1280"/>
        <item x="753"/>
        <item x="1314"/>
        <item x="757"/>
        <item x="2035"/>
        <item x="726"/>
        <item x="186"/>
        <item x="863"/>
        <item x="706"/>
        <item x="2679"/>
        <item x="507"/>
        <item x="551"/>
        <item x="1127"/>
        <item x="2000"/>
        <item x="729"/>
        <item x="644"/>
        <item x="1927"/>
        <item x="1799"/>
        <item x="487"/>
        <item x="407"/>
        <item x="2080"/>
        <item x="637"/>
        <item x="2457"/>
        <item x="1919"/>
        <item x="2525"/>
        <item x="29"/>
        <item x="1370"/>
        <item x="1461"/>
        <item x="1318"/>
        <item x="2006"/>
        <item x="1915"/>
        <item x="2155"/>
        <item x="1993"/>
        <item x="1611"/>
        <item x="613"/>
        <item x="26"/>
        <item x="1344"/>
        <item x="1374"/>
        <item x="33"/>
        <item x="1339"/>
        <item x="715"/>
        <item x="190"/>
        <item x="510"/>
        <item x="515"/>
        <item x="2483"/>
        <item x="567"/>
        <item x="1164"/>
        <item x="2484"/>
        <item x="2868"/>
        <item x="506"/>
        <item x="1160"/>
        <item x="1262"/>
        <item x="752"/>
        <item x="1571"/>
        <item x="1471"/>
        <item x="1260"/>
        <item x="749"/>
        <item x="2871"/>
        <item x="2255"/>
        <item x="1258"/>
        <item x="2620"/>
        <item x="818"/>
        <item x="1966"/>
        <item x="724"/>
        <item x="2900"/>
        <item x="744"/>
        <item x="725"/>
        <item x="1302"/>
        <item x="1313"/>
        <item x="1437"/>
        <item x="568"/>
        <item x="1355"/>
        <item x="1841"/>
        <item x="1436"/>
        <item x="1401"/>
        <item x="1429"/>
        <item x="1544"/>
        <item x="737"/>
        <item x="723"/>
        <item x="1568"/>
        <item x="3262"/>
        <item x="1761"/>
        <item x="2101"/>
        <item x="2002"/>
        <item x="3237"/>
        <item x="545"/>
        <item x="641"/>
        <item x="3247"/>
        <item x="2603"/>
        <item x="531"/>
        <item x="2004"/>
        <item x="1612"/>
        <item x="1651"/>
        <item x="1679"/>
        <item x="1793"/>
        <item x="1770"/>
        <item x="1874"/>
        <item x="1458"/>
        <item x="1823"/>
        <item x="2056"/>
        <item x="1744"/>
        <item x="1724"/>
        <item x="803"/>
        <item x="1601"/>
        <item x="519"/>
        <item x="1810"/>
        <item x="1522"/>
        <item x="550"/>
        <item x="805"/>
        <item x="810"/>
        <item x="3316"/>
        <item x="1515"/>
        <item x="1425"/>
        <item x="566"/>
        <item x="789"/>
        <item x="953"/>
        <item x="1816"/>
        <item x="1490"/>
        <item x="2585"/>
        <item x="1512"/>
        <item x="431"/>
        <item x="1427"/>
        <item x="811"/>
        <item x="1743"/>
        <item x="1438"/>
        <item x="779"/>
        <item x="2028"/>
        <item x="836"/>
        <item x="569"/>
        <item x="1707"/>
        <item x="996"/>
        <item x="1749"/>
        <item x="1227"/>
        <item x="1526"/>
        <item x="1840"/>
        <item x="1466"/>
        <item x="1787"/>
        <item x="405"/>
        <item x="1473"/>
        <item x="203"/>
        <item x="1847"/>
        <item x="1819"/>
        <item x="3234"/>
        <item x="2224"/>
        <item x="881"/>
        <item x="572"/>
        <item x="1329"/>
        <item x="586"/>
        <item x="1485"/>
        <item x="582"/>
        <item x="1474"/>
        <item x="271"/>
        <item x="1845"/>
        <item x="1495"/>
        <item x="704"/>
        <item x="1483"/>
        <item x="1283"/>
        <item x="708"/>
        <item x="588"/>
        <item x="621"/>
        <item x="2969"/>
        <item x="948"/>
        <item x="419"/>
        <item x="438"/>
        <item x="1067"/>
        <item x="1265"/>
        <item x="448"/>
        <item x="249"/>
        <item x="207"/>
        <item x="452"/>
        <item x="414"/>
        <item x="2042"/>
        <item x="379"/>
        <item x="381"/>
        <item x="695"/>
        <item x="380"/>
        <item x="3010"/>
        <item x="3061"/>
        <item x="2591"/>
        <item x="1011"/>
        <item x="1477"/>
        <item x="1822"/>
        <item x="686"/>
        <item x="1387"/>
        <item x="2053"/>
        <item x="1038"/>
        <item x="989"/>
        <item x="1014"/>
        <item x="734"/>
        <item x="1395"/>
        <item x="2978"/>
        <item x="1815"/>
        <item x="1705"/>
        <item x="947"/>
        <item x="1486"/>
        <item x="237"/>
        <item x="841"/>
        <item x="297"/>
        <item x="1683"/>
        <item x="1807"/>
        <item x="590"/>
        <item x="1801"/>
        <item x="2558"/>
        <item x="3253"/>
        <item x="478"/>
        <item x="3019"/>
        <item x="256"/>
        <item x="952"/>
        <item x="2112"/>
        <item x="1574"/>
        <item x="781"/>
        <item x="296"/>
        <item x="1773"/>
        <item x="920"/>
        <item x="1928"/>
        <item x="671"/>
        <item x="1733"/>
        <item x="3239"/>
        <item x="1859"/>
        <item x="2595"/>
        <item x="2808"/>
        <item x="2692"/>
        <item x="1020"/>
        <item x="2794"/>
        <item x="2980"/>
        <item x="2985"/>
        <item x="1854"/>
        <item x="1025"/>
        <item x="2758"/>
        <item x="1676"/>
        <item x="875"/>
        <item x="2130"/>
        <item x="2837"/>
        <item x="916"/>
        <item x="1021"/>
        <item x="846"/>
        <item x="1661"/>
        <item x="1829"/>
        <item x="845"/>
        <item x="1858"/>
        <item x="2740"/>
        <item x="327"/>
        <item x="1850"/>
        <item x="954"/>
        <item x="961"/>
        <item x="963"/>
        <item x="1864"/>
        <item x="1849"/>
        <item x="1346"/>
        <item x="927"/>
        <item x="1843"/>
        <item x="937"/>
        <item x="1491"/>
        <item x="939"/>
        <item x="1780"/>
        <item x="869"/>
        <item x="1710"/>
        <item x="1163"/>
        <item x="1714"/>
        <item x="1167"/>
        <item x="1173"/>
        <item x="1397"/>
        <item x="1686"/>
        <item x="1826"/>
        <item x="298"/>
        <item x="940"/>
        <item x="1635"/>
        <item x="2767"/>
        <item x="3112"/>
        <item x="700"/>
        <item x="1640"/>
        <item x="1350"/>
        <item x="1922"/>
        <item x="1058"/>
        <item x="3017"/>
        <item x="1911"/>
        <item x="1763"/>
        <item x="2747"/>
        <item x="1044"/>
        <item x="1648"/>
        <item x="693"/>
        <item x="2510"/>
        <item x="538"/>
        <item x="1331"/>
        <item x="1391"/>
        <item x="1935"/>
        <item x="736"/>
        <item x="945"/>
        <item x="3116"/>
        <item x="387"/>
        <item x="1806"/>
        <item x="717"/>
        <item x="591"/>
        <item x="705"/>
        <item x="778"/>
        <item x="1833"/>
        <item x="386"/>
        <item x="1367"/>
        <item x="3016"/>
        <item x="2938"/>
        <item x="1271"/>
        <item x="1509"/>
        <item x="2967"/>
        <item x="1981"/>
        <item x="1033"/>
        <item x="1158"/>
        <item x="1977"/>
        <item x="1276"/>
        <item x="2329"/>
        <item x="1974"/>
        <item x="3006"/>
        <item x="2315"/>
        <item x="1989"/>
        <item x="871"/>
        <item x="1557"/>
        <item x="1906"/>
        <item x="2489"/>
        <item x="1968"/>
        <item x="2893"/>
        <item x="1508"/>
        <item x="1964"/>
        <item x="819"/>
        <item x="1498"/>
        <item x="2840"/>
        <item x="1548"/>
        <item x="1872"/>
        <item x="2242"/>
        <item x="1956"/>
        <item x="1562"/>
        <item x="1274"/>
        <item x="2442"/>
        <item x="1570"/>
        <item x="1890"/>
        <item x="1955"/>
        <item x="801"/>
        <item x="3101"/>
        <item x="2888"/>
        <item x="1953"/>
        <item x="2434"/>
        <item x="1951"/>
        <item x="1940"/>
        <item x="229"/>
        <item x="2077"/>
        <item x="1932"/>
        <item x="943"/>
        <item x="2110"/>
        <item x="2536"/>
        <item x="2182"/>
        <item x="2533"/>
        <item x="1912"/>
        <item x="1398"/>
        <item x="2530"/>
        <item x="1541"/>
        <item x="2999"/>
        <item x="626"/>
        <item x="2380"/>
        <item x="2074"/>
        <item x="1218"/>
        <item x="866"/>
        <item x="1990"/>
        <item x="3004"/>
        <item x="1973"/>
        <item x="1221"/>
        <item x="1969"/>
        <item x="3001"/>
        <item x="3086"/>
        <item x="1117"/>
        <item x="1965"/>
        <item x="2230"/>
        <item x="1532"/>
        <item x="1172"/>
        <item x="1234"/>
        <item x="3417"/>
        <item x="3098"/>
        <item x="1933"/>
        <item x="966"/>
        <item x="631"/>
        <item x="1170"/>
        <item x="3030"/>
        <item x="2019"/>
        <item x="2065"/>
        <item x="880"/>
        <item x="3035"/>
        <item x="2246"/>
        <item x="1177"/>
        <item x="1126"/>
        <item x="1455"/>
        <item x="601"/>
        <item x="1179"/>
        <item x="3092"/>
        <item x="2169"/>
        <item x="983"/>
        <item x="1232"/>
        <item x="1980"/>
        <item x="1185"/>
        <item x="2436"/>
        <item x="1249"/>
        <item x="3022"/>
        <item x="1065"/>
        <item x="2504"/>
        <item x="1776"/>
        <item x="504"/>
        <item x="2060"/>
        <item x="1677"/>
        <item x="1691"/>
        <item x="3167"/>
        <item x="200"/>
        <item x="1248"/>
        <item x="1728"/>
        <item x="1237"/>
        <item x="2062"/>
        <item x="2487"/>
        <item x="1814"/>
        <item x="1690"/>
        <item x="2026"/>
        <item x="1726"/>
        <item x="1181"/>
        <item x="38"/>
        <item x="1180"/>
        <item x="1251"/>
        <item x="1095"/>
        <item x="1857"/>
        <item x="1174"/>
        <item x="2709"/>
        <item x="938"/>
        <item x="1324"/>
        <item x="2945"/>
        <item x="2051"/>
        <item x="1607"/>
        <item x="1121"/>
        <item x="1669"/>
        <item x="2256"/>
        <item x="1112"/>
        <item x="3312"/>
        <item x="1792"/>
        <item x="2260"/>
        <item x="912"/>
        <item x="1186"/>
        <item x="914"/>
        <item x="1739"/>
        <item x="2250"/>
        <item x="1124"/>
        <item x="2029"/>
        <item x="1325"/>
        <item x="3330"/>
        <item x="486"/>
        <item x="839"/>
        <item x="2851"/>
        <item x="2527"/>
        <item x="2685"/>
        <item x="234"/>
        <item x="1090"/>
        <item x="2694"/>
        <item x="3088"/>
        <item x="1333"/>
        <item x="1270"/>
        <item x="3354"/>
        <item x="802"/>
        <item x="2654"/>
        <item x="2764"/>
        <item x="3163"/>
        <item x="854"/>
        <item x="3139"/>
        <item x="2543"/>
        <item x="2755"/>
        <item x="2143"/>
        <item x="1122"/>
        <item x="3171"/>
        <item x="1830"/>
        <item x="2616"/>
        <item x="2657"/>
        <item x="3182"/>
        <item x="1836"/>
        <item x="815"/>
        <item x="855"/>
        <item x="2468"/>
        <item x="1081"/>
        <item x="3034"/>
        <item x="2810"/>
        <item x="1862"/>
        <item x="2838"/>
        <item x="2739"/>
        <item x="1190"/>
        <item x="3069"/>
        <item x="1193"/>
        <item x="1071"/>
        <item x="2822"/>
        <item x="2644"/>
        <item x="2824"/>
        <item x="1741"/>
        <item x="497"/>
        <item x="1638"/>
        <item x="1294"/>
        <item x="1310"/>
        <item x="3220"/>
        <item x="2950"/>
        <item x="1240"/>
        <item x="1628"/>
        <item x="2333"/>
        <item x="2262"/>
        <item x="2744"/>
        <item x="290"/>
        <item x="3345"/>
        <item x="1099"/>
        <item x="3159"/>
        <item x="1630"/>
        <item x="1303"/>
        <item x="3331"/>
        <item x="977"/>
        <item x="1642"/>
        <item x="1777"/>
        <item x="3117"/>
        <item x="3154"/>
        <item x="2675"/>
        <item x="2793"/>
        <item x="853"/>
        <item x="1228"/>
        <item x="2021"/>
        <item x="1580"/>
        <item x="3228"/>
        <item x="3219"/>
        <item x="2722"/>
        <item x="2766"/>
        <item x="3250"/>
        <item x="3188"/>
        <item x="1795"/>
        <item x="1595"/>
        <item x="3080"/>
        <item x="2548"/>
        <item x="3437"/>
        <item x="2575"/>
        <item x="313"/>
        <item x="1623"/>
        <item x="3073"/>
        <item x="3108"/>
        <item x="3230"/>
        <item x="1061"/>
        <item x="3261"/>
        <item x="3064"/>
        <item x="1666"/>
        <item x="2932"/>
        <item x="1888"/>
        <item x="373"/>
        <item x="604"/>
        <item x="1336"/>
        <item x="3054"/>
        <item x="2704"/>
        <item x="1317"/>
        <item x="911"/>
        <item x="3071"/>
        <item x="3075"/>
        <item x="3078"/>
        <item x="2535"/>
        <item x="3180"/>
        <item x="2669"/>
        <item x="1883"/>
        <item x="2746"/>
        <item x="2680"/>
        <item x="2596"/>
        <item x="3389"/>
        <item x="318"/>
        <item x="907"/>
        <item x="3057"/>
        <item x="3226"/>
        <item x="3377"/>
        <item x="1938"/>
        <item x="3068"/>
        <item x="1886"/>
        <item x="2728"/>
        <item x="3077"/>
        <item x="3076"/>
        <item x="1555"/>
        <item x="396"/>
        <item x="1619"/>
        <item x="1552"/>
        <item x="2529"/>
        <item x="3062"/>
        <item x="2075"/>
        <item x="554"/>
        <item x="347"/>
        <item x="205"/>
        <item x="2608"/>
        <item x="1880"/>
        <item x="1585"/>
        <item x="1273"/>
        <item x="2052"/>
        <item x="3314"/>
        <item x="1579"/>
        <item x="3143"/>
        <item x="2395"/>
        <item x="501"/>
        <item x="2409"/>
        <item x="2623"/>
        <item x="2072"/>
        <item x="581"/>
        <item x="2108"/>
        <item x="1080"/>
        <item x="2908"/>
        <item x="2719"/>
        <item x="3194"/>
        <item x="1452"/>
        <item x="899"/>
        <item x="1454"/>
        <item x="1499"/>
        <item x="1657"/>
        <item x="1598"/>
        <item x="2519"/>
        <item x="3231"/>
        <item x="3124"/>
        <item x="1996"/>
        <item x="936"/>
        <item x="3427"/>
        <item x="1433"/>
        <item x="2763"/>
        <item x="2610"/>
        <item x="339"/>
        <item x="1550"/>
        <item x="1925"/>
        <item x="1543"/>
        <item x="1428"/>
        <item x="2336"/>
        <item x="447"/>
        <item x="1419"/>
        <item x="2085"/>
        <item x="2068"/>
        <item x="1199"/>
        <item x="1389"/>
        <item x="2084"/>
        <item x="1559"/>
        <item x="1384"/>
        <item x="2903"/>
        <item x="589"/>
        <item x="2009"/>
        <item x="1048"/>
        <item x="1514"/>
        <item x="1097"/>
        <item x="2571"/>
        <item x="307"/>
        <item x="1421"/>
        <item x="3323"/>
        <item x="3105"/>
        <item x="3177"/>
        <item x="2415"/>
        <item x="1157"/>
        <item x="2297"/>
        <item x="2103"/>
        <item x="1165"/>
        <item x="3399"/>
        <item x="1583"/>
        <item x="520"/>
        <item x="1554"/>
        <item x="2092"/>
        <item x="2069"/>
        <item x="578"/>
        <item x="2583"/>
        <item x="1718"/>
        <item x="782"/>
        <item x="1386"/>
        <item x="579"/>
        <item x="3328"/>
        <item x="1050"/>
        <item x="774"/>
        <item x="1141"/>
        <item x="1120"/>
        <item x="391"/>
        <item x="2265"/>
        <item x="498"/>
        <item x="902"/>
        <item x="896"/>
        <item x="2312"/>
        <item x="1600"/>
        <item x="2083"/>
        <item x="1125"/>
        <item x="489"/>
        <item x="445"/>
        <item x="775"/>
        <item x="3334"/>
        <item x="3407"/>
        <item x="764"/>
        <item x="2581"/>
        <item x="494"/>
        <item x="2698"/>
        <item x="763"/>
        <item x="909"/>
        <item x="3284"/>
        <item x="3340"/>
        <item x="429"/>
        <item x="762"/>
        <item x="285"/>
        <item x="3041"/>
        <item x="1321"/>
        <item x="3259"/>
        <item x="3045"/>
        <item x="908"/>
        <item x="1877"/>
        <item x="424"/>
        <item x="3335"/>
        <item x="425"/>
        <item x="3046"/>
        <item x="106"/>
        <item x="1536"/>
        <item x="898"/>
        <item x="2116"/>
        <item x="1664"/>
        <item x="2126"/>
        <item x="894"/>
        <item x="1405"/>
        <item x="437"/>
        <item x="2105"/>
        <item x="170"/>
        <item x="673"/>
        <item x="595"/>
        <item x="2023"/>
        <item x="442"/>
        <item x="3341"/>
        <item x="2012"/>
        <item x="3364"/>
        <item x="2481"/>
        <item x="612"/>
        <item x="2391"/>
        <item x="2017"/>
        <item x="104"/>
        <item x="1375"/>
        <item x="1377"/>
        <item x="1217"/>
        <item x="243"/>
        <item x="377"/>
        <item x="1369"/>
        <item x="246"/>
        <item x="1373"/>
        <item x="247"/>
        <item x="276"/>
        <item x="1356"/>
        <item x="657"/>
        <item x="597"/>
        <item x="997"/>
        <item x="990"/>
        <item x="2846"/>
        <item x="919"/>
        <item x="2106"/>
        <item x="3267"/>
        <item x="1188"/>
        <item x="3373"/>
        <item x="614"/>
        <item x="930"/>
        <item x="2142"/>
        <item x="2164"/>
        <item x="623"/>
        <item x="2015"/>
        <item x="3343"/>
        <item x="1592"/>
        <item x="1947"/>
        <item x="1478"/>
        <item x="1184"/>
        <item x="2753"/>
        <item x="2321"/>
        <item x="985"/>
        <item x="994"/>
        <item x="747"/>
        <item x="964"/>
        <item x="1315"/>
        <item x="1008"/>
        <item x="2706"/>
        <item x="482"/>
        <item x="3366"/>
        <item x="502"/>
        <item x="991"/>
        <item x="480"/>
        <item x="682"/>
        <item x="3287"/>
        <item x="1754"/>
        <item x="653"/>
        <item x="1643"/>
        <item x="652"/>
        <item x="1481"/>
        <item x="2803"/>
        <item x="1300"/>
        <item x="2564"/>
        <item x="2037"/>
        <item x="2157"/>
        <item x="1655"/>
        <item x="1721"/>
        <item x="485"/>
        <item x="3197"/>
        <item x="751"/>
        <item x="1042"/>
        <item x="1348"/>
        <item x="2018"/>
        <item x="1711"/>
        <item x="1202"/>
        <item x="2691"/>
        <item x="1730"/>
        <item x="1736"/>
        <item x="3292"/>
        <item x="2071"/>
        <item x="2962"/>
        <item x="1257"/>
        <item x="230"/>
        <item x="2022"/>
        <item x="905"/>
        <item x="99"/>
        <item x="549"/>
        <item x="1253"/>
        <item x="2830"/>
        <item x="89"/>
        <item x="475"/>
        <item x="642"/>
        <item x="2857"/>
        <item x="2780"/>
        <item x="3217"/>
        <item x="926"/>
        <item x="368"/>
        <item x="3211"/>
        <item x="1633"/>
        <item x="982"/>
        <item x="1092"/>
        <item x="1238"/>
        <item x="592"/>
        <item x="925"/>
        <item x="1145"/>
        <item x="2557"/>
        <item x="3214"/>
        <item x="3058"/>
        <item x="1142"/>
        <item x="2324"/>
        <item x="2777"/>
        <item x="3278"/>
        <item x="212"/>
        <item x="3257"/>
        <item x="2034"/>
        <item x="602"/>
        <item x="931"/>
        <item x="2237"/>
        <item x="3224"/>
        <item x="219"/>
        <item x="461"/>
        <item x="3223"/>
        <item x="2038"/>
        <item x="3206"/>
        <item x="3442"/>
        <item x="3218"/>
        <item x="2590"/>
        <item x="1275"/>
        <item x="2673"/>
        <item x="3203"/>
        <item x="415"/>
        <item x="1587"/>
        <item x="3122"/>
        <item x="3186"/>
        <item x="3119"/>
        <item x="3146"/>
        <item x="3192"/>
        <item x="1618"/>
        <item x="2941"/>
        <item x="3127"/>
        <item x="3134"/>
        <item x="3187"/>
        <item x="3190"/>
        <item x="2368"/>
        <item x="395"/>
        <item x="2173"/>
        <item x="2263"/>
        <item x="226"/>
        <item x="1986"/>
        <item x="2965"/>
        <item x="389"/>
        <item x="864"/>
        <item x="2496"/>
        <item x="483"/>
        <item x="458"/>
        <item x="174"/>
        <item x="2805"/>
        <item x="453"/>
        <item x="889"/>
        <item x="3392"/>
        <item x="648"/>
        <item x="1975"/>
        <item x="2427"/>
        <item x="530"/>
        <item x="1837"/>
        <item x="608"/>
        <item x="390"/>
        <item x="2172"/>
        <item x="1004"/>
        <item x="2937"/>
        <item x="788"/>
        <item x="2331"/>
        <item x="2335"/>
        <item x="750"/>
        <item x="2924"/>
        <item x="2358"/>
        <item x="3363"/>
        <item x="2549"/>
        <item x="150"/>
        <item x="141"/>
        <item x="765"/>
        <item x="2363"/>
        <item x="942"/>
        <item x="638"/>
        <item x="1002"/>
        <item x="2373"/>
        <item x="798"/>
        <item x="738"/>
        <item x="792"/>
        <item x="2115"/>
        <item x="2165"/>
        <item x="3170"/>
        <item x="797"/>
        <item x="796"/>
        <item x="148"/>
        <item x="1016"/>
        <item x="317"/>
        <item x="1449"/>
        <item x="2428"/>
        <item x="2132"/>
        <item x="1098"/>
        <item x="639"/>
        <item x="423"/>
        <item x="756"/>
        <item x="1451"/>
        <item x="2521"/>
        <item x="3436"/>
        <item x="152"/>
        <item x="309"/>
        <item x="3307"/>
        <item x="225"/>
        <item x="2089"/>
        <item x="3280"/>
        <item x="146"/>
        <item x="156"/>
        <item x="976"/>
        <item x="343"/>
        <item x="3153"/>
        <item x="2751"/>
        <item x="645"/>
        <item x="1074"/>
        <item x="155"/>
        <item x="842"/>
        <item x="2667"/>
        <item x="3243"/>
        <item x="1529"/>
        <item x="2451"/>
        <item x="2185"/>
        <item x="1984"/>
        <item x="3385"/>
        <item x="128"/>
        <item x="2410"/>
        <item x="2437"/>
        <item x="2135"/>
        <item x="2989"/>
        <item x="2419"/>
        <item x="2921"/>
        <item x="378"/>
        <item x="1943"/>
        <item x="375"/>
        <item x="879"/>
        <item x="2129"/>
        <item x="1878"/>
        <item x="1129"/>
        <item x="1220"/>
        <item x="646"/>
        <item x="618"/>
        <item x="1447"/>
        <item x="164"/>
        <item x="1084"/>
        <item x="326"/>
        <item x="341"/>
        <item x="462"/>
        <item x="1054"/>
        <item x="2512"/>
        <item x="1056"/>
        <item x="2661"/>
        <item x="3416"/>
        <item x="1085"/>
        <item x="2323"/>
        <item x="1192"/>
        <item x="471"/>
        <item x="2895"/>
        <item x="1027"/>
        <item x="91"/>
        <item x="2490"/>
        <item x="1198"/>
        <item x="2206"/>
        <item x="2236"/>
        <item x="459"/>
        <item x="2214"/>
        <item x="218"/>
        <item x="3351"/>
        <item x="2401"/>
        <item x="214"/>
        <item x="2218"/>
        <item x="476"/>
        <item x="120"/>
        <item x="1113"/>
        <item x="3378"/>
        <item x="1077"/>
        <item x="210"/>
        <item x="979"/>
        <item x="847"/>
        <item x="1123"/>
        <item x="2398"/>
        <item x="292"/>
        <item x="2292"/>
        <item x="302"/>
        <item x="3053"/>
        <item x="179"/>
        <item x="303"/>
        <item x="1047"/>
        <item x="2216"/>
        <item x="277"/>
        <item x="2650"/>
        <item x="166"/>
        <item x="2677"/>
        <item x="539"/>
        <item x="1136"/>
        <item x="728"/>
        <item x="114"/>
        <item x="2223"/>
        <item x="2479"/>
        <item x="2836"/>
        <item x="660"/>
        <item x="344"/>
        <item x="3404"/>
        <item x="283"/>
        <item x="2517"/>
        <item x="157"/>
        <item x="787"/>
        <item x="1603"/>
        <item x="1152"/>
        <item x="1018"/>
        <item x="1596"/>
        <item x="353"/>
        <item x="978"/>
        <item x="349"/>
        <item x="2983"/>
        <item x="1578"/>
        <item x="1586"/>
        <item x="1923"/>
        <item x="58"/>
        <item x="1608"/>
        <item x="3038"/>
        <item x="1658"/>
        <item x="3094"/>
        <item x="2377"/>
        <item x="356"/>
        <item x="3320"/>
        <item x="2892"/>
        <item x="2568"/>
        <item x="410"/>
        <item x="92"/>
        <item x="3100"/>
        <item x="60"/>
        <item x="2393"/>
        <item x="2494"/>
        <item x="2714"/>
        <item x="2665"/>
        <item x="361"/>
        <item x="187"/>
        <item x="1075"/>
        <item x="332"/>
        <item x="335"/>
        <item x="3322"/>
        <item x="971"/>
        <item x="96"/>
        <item x="1334"/>
        <item x="251"/>
        <item x="2809"/>
        <item x="3281"/>
        <item x="3414"/>
        <item x="211"/>
        <item x="2175"/>
        <item x="969"/>
        <item x="3384"/>
        <item x="171"/>
        <item x="2196"/>
        <item x="1497"/>
        <item x="260"/>
        <item x="160"/>
        <item x="62"/>
        <item x="3406"/>
        <item x="2057"/>
        <item x="2345"/>
        <item x="1936"/>
        <item x="1500"/>
        <item x="1774"/>
        <item x="973"/>
        <item x="1504"/>
        <item x="105"/>
        <item x="112"/>
        <item x="43"/>
        <item x="921"/>
        <item x="2406"/>
        <item x="3434"/>
        <item x="910"/>
        <item x="322"/>
        <item x="310"/>
        <item x="41"/>
        <item x="2660"/>
        <item x="263"/>
        <item x="1093"/>
        <item x="3168"/>
        <item x="1457"/>
        <item x="2317"/>
        <item x="47"/>
        <item x="273"/>
        <item x="116"/>
        <item x="1675"/>
        <item x="270"/>
        <item x="143"/>
        <item x="264"/>
        <item x="139"/>
        <item x="133"/>
        <item x="267"/>
        <item x="56"/>
        <item x="968"/>
        <item x="521"/>
        <item x="2875"/>
        <item x="137"/>
        <item x="3294"/>
        <item x="3282"/>
        <item x="659"/>
        <item x="2314"/>
        <item x="2779"/>
        <item x="3394"/>
        <item x="67"/>
        <item x="2776"/>
        <item x="124"/>
        <item x="3216"/>
        <item x="65"/>
        <item x="50"/>
        <item x="2797"/>
        <item x="780"/>
        <item x="126"/>
        <item x="113"/>
        <item x="100"/>
        <item x="2832"/>
        <item x="603"/>
        <item x="2731"/>
        <item x="238"/>
        <item x="240"/>
        <item x="241"/>
        <item x="119"/>
        <item x="2856"/>
        <item x="1834"/>
        <item x="233"/>
        <item x="1203"/>
        <item x="2783"/>
        <item x="3310"/>
        <item x="134"/>
        <item x="2628"/>
        <item x="3213"/>
        <item x="1041"/>
        <item x="2952"/>
        <item x="127"/>
        <item x="1682"/>
        <item x="2209"/>
        <item x="3432"/>
        <item x="3289"/>
        <item x="2267"/>
        <item x="3348"/>
        <item x="1296"/>
        <item x="255"/>
        <item x="2671"/>
        <item x="3421"/>
        <item x="81"/>
        <item x="450"/>
        <item x="2239"/>
        <item x="45"/>
        <item x="2689"/>
        <item x="2901"/>
        <item x="2221"/>
        <item x="2847"/>
        <item x="221"/>
        <item x="1032"/>
        <item x="9"/>
        <item x="3315"/>
        <item x="3371"/>
        <item x="208"/>
        <item x="2300"/>
        <item x="2898"/>
        <item x="3275"/>
        <item x="107"/>
        <item x="2546"/>
        <item x="2844"/>
        <item x="74"/>
        <item x="2648"/>
        <item x="2178"/>
        <item x="3179"/>
        <item x="2622"/>
        <item x="364"/>
        <item x="617"/>
        <item x="3303"/>
        <item x="2563"/>
        <item x="239"/>
        <item x="766"/>
        <item x="1533"/>
        <item x="1788"/>
        <item x="224"/>
        <item x="2641"/>
        <item x="2646"/>
        <item x="2299"/>
        <item x="3272"/>
        <item x="3151"/>
        <item x="2696"/>
        <item x="3199"/>
        <item x="2397"/>
        <item x="2701"/>
        <item x="3387"/>
        <item x="2403"/>
        <item x="1043"/>
        <item x="334"/>
        <item x="3361"/>
        <item x="2761"/>
        <item x="2570"/>
        <item x="2906"/>
        <item x="1945"/>
        <item x="1887"/>
        <item x="2241"/>
        <item x="2582"/>
        <item x="2252"/>
        <item x="784"/>
        <item x="2541"/>
        <item x="358"/>
        <item x="1001"/>
        <item x="3014"/>
        <item x="180"/>
        <item x="3440"/>
        <item x="86"/>
        <item x="87"/>
        <item x="2281"/>
        <item x="2309"/>
        <item x="2301"/>
        <item x="786"/>
        <item x="72"/>
        <item x="1026"/>
        <item x="3269"/>
        <item x="3286"/>
        <item x="1703"/>
        <item x="2867"/>
        <item x="1003"/>
        <item x="2699"/>
        <item x="600"/>
        <item x="872"/>
        <item x="5"/>
        <item x="3130"/>
        <item x="2579"/>
        <item x="1024"/>
        <item x="3107"/>
        <item x="1015"/>
        <item x="783"/>
        <item x="2445"/>
        <item x="3429"/>
        <item x="2625"/>
        <item x="2870"/>
        <item x="299"/>
        <item x="2588"/>
        <item x="2593"/>
        <item x="2833"/>
        <item x="2554"/>
        <item x="2726"/>
        <item x="680"/>
        <item x="2684"/>
        <item x="1102"/>
        <item x="2040"/>
        <item x="2470"/>
        <item x="2213"/>
        <item x="1088"/>
        <item x="191"/>
        <item x="312"/>
        <item x="3424"/>
        <item x="3152"/>
        <item x="1520"/>
        <item x="1852"/>
        <item x="2631"/>
        <item x="2887"/>
        <item x="3382"/>
        <item x="1948"/>
        <item x="730"/>
        <item x="2799"/>
        <item x="3169"/>
        <item x="2992"/>
        <item x="83"/>
        <item x="77"/>
        <item x="108"/>
        <item x="3026"/>
        <item x="1625"/>
        <item x="1137"/>
        <item x="3084"/>
        <item x="2467"/>
        <item x="731"/>
        <item x="3375"/>
        <item x="1106"/>
        <item x="3113"/>
        <item x="3099"/>
        <item x="258"/>
        <item x="1719"/>
        <item x="3140"/>
        <item x="1230"/>
        <item x="337"/>
        <item x="2137"/>
        <item x="3025"/>
        <item x="2923"/>
        <item x="2717"/>
        <item x="1469"/>
        <item x="3083"/>
        <item x="2372"/>
        <item x="537"/>
        <item x="3013"/>
        <item x="421"/>
        <item x="1524"/>
        <item x="1107"/>
        <item x="1844"/>
        <item x="2413"/>
        <item x="3012"/>
        <item x="2737"/>
        <item x="2773"/>
        <item x="1212"/>
        <item x="1487"/>
        <item x="3093"/>
        <item x="3160"/>
        <item x="371"/>
        <item x="2240"/>
        <item x="812"/>
        <item x="2235"/>
        <item x="2850"/>
        <item x="3379"/>
        <item x="3106"/>
        <item x="3142"/>
        <item x="3114"/>
        <item x="697"/>
        <item x="809"/>
        <item x="1094"/>
        <item x="2251"/>
        <item x="80"/>
        <item x="2447"/>
        <item x="1104"/>
        <item x="2261"/>
        <item x="1214"/>
        <item x="1076"/>
        <item x="433"/>
        <item x="679"/>
        <item x="3441"/>
        <item x="3000"/>
        <item x="2613"/>
        <item x="3423"/>
        <item x="54"/>
        <item x="1564"/>
        <item x="467"/>
        <item x="3141"/>
        <item x="2385"/>
        <item x="1696"/>
        <item x="125"/>
        <item x="3415"/>
        <item x="3422"/>
        <item x="1005"/>
        <item x="3428"/>
        <item x="3435"/>
        <item x="435"/>
        <item x="2971"/>
        <item x="2386"/>
        <item x="2234"/>
        <item x="3321"/>
        <item x="2233"/>
        <item x="2264"/>
        <item x="2290"/>
        <item x="599"/>
        <item x="3245"/>
        <item x="1593"/>
        <item x="2078"/>
        <item x="2514"/>
        <item x="1671"/>
        <item x="2179"/>
        <item x="2991"/>
        <item x="1360"/>
        <item x="2495"/>
        <item x="1138"/>
        <item x="2635"/>
        <item x="2285"/>
        <item x="1756"/>
        <item x="3350"/>
        <item x="282"/>
        <item x="984"/>
        <item x="2305"/>
        <item x="1525"/>
        <item x="1865"/>
        <item x="1781"/>
        <item x="3258"/>
        <item x="3273"/>
        <item x="3285"/>
        <item x="2935"/>
        <item x="1893"/>
        <item x="2614"/>
        <item x="3274"/>
        <item x="2322"/>
        <item x="2738"/>
        <item x="2507"/>
        <item x="1393"/>
        <item x="1695"/>
        <item x="2121"/>
        <item x="1684"/>
        <item x="3383"/>
        <item x="3268"/>
        <item x="1898"/>
        <item x="2990"/>
        <item x="2353"/>
        <item x="2338"/>
        <item x="1538"/>
        <item x="2188"/>
        <item x="2278"/>
        <item x="2878"/>
        <item x="2147"/>
        <item x="2612"/>
        <item x="2271"/>
        <item x="3376"/>
        <item x="2547"/>
        <item x="1231"/>
        <item x="2630"/>
        <item x="2198"/>
        <item x="2542"/>
        <item x="1242"/>
        <item x="1243"/>
        <item x="2975"/>
        <item x="2860"/>
        <item x="2817"/>
        <item x="2414"/>
        <item x="2119"/>
        <item x="1867"/>
        <item x="2976"/>
        <item x="3288"/>
        <item x="2383"/>
        <item x="1470"/>
        <item x="2160"/>
        <item x="2974"/>
        <item x="2819"/>
        <item x="2043"/>
        <item x="2122"/>
        <item x="2162"/>
        <item x="2288"/>
        <item x="2589"/>
        <item x="3386"/>
        <item x="3393"/>
        <item x="1895"/>
        <item x="2120"/>
        <item x="1735"/>
        <item x="2187"/>
        <item x="3311"/>
        <item x="1896"/>
        <item x="1959"/>
        <item x="2881"/>
        <item x="2349"/>
        <item x="2348"/>
        <item x="2340"/>
        <item x="2276"/>
        <item x="2192"/>
        <item x="1108"/>
        <item x="2046"/>
        <item x="2907"/>
        <item x="2915"/>
        <item x="1223"/>
        <item x="2384"/>
        <item x="3372"/>
        <item x="3293"/>
        <item x="2148"/>
        <item x="767"/>
        <item x="1899"/>
        <item x="2360"/>
        <item x="2146"/>
        <item x="2289"/>
        <item x="3297"/>
        <item x="1782"/>
        <item x="2204"/>
        <item x="1870"/>
        <item x="2876"/>
        <item x="2284"/>
        <item x="2341"/>
        <item x="2357"/>
        <item x="2202"/>
        <item x="1931"/>
        <item x="2955"/>
        <item x="2774"/>
        <item x="2291"/>
        <item x="1006"/>
        <item x="3175"/>
        <item x="2954"/>
        <item x="2775"/>
        <item x="2161"/>
        <item x="2636"/>
        <item x="2977"/>
        <item x="2159"/>
        <item x="874"/>
        <item x="1868"/>
        <item x="2634"/>
        <item x="2778"/>
        <item x="2422"/>
        <item x="2339"/>
        <item x="2277"/>
        <item x="2879"/>
        <item x="2973"/>
        <item x="1517"/>
        <item x="2880"/>
        <item x="2044"/>
        <item x="2275"/>
        <item x="2328"/>
        <item x="2815"/>
        <item x="2814"/>
        <item x="527"/>
        <item x="2047"/>
        <item x="2327"/>
        <item x="2913"/>
        <item x="2304"/>
        <item x="2914"/>
        <item x="2045"/>
        <item x="2351"/>
        <item x="1804"/>
        <item x="3198"/>
        <item x="713"/>
        <item x="2916"/>
        <item x="2286"/>
        <item x="2238"/>
        <item x="2816"/>
        <item x="1960"/>
        <item x="1946"/>
        <item x="632"/>
        <item x="633"/>
        <item x="2306"/>
        <item x="2430"/>
        <item x="2861"/>
        <item x="2454"/>
        <item x="2615"/>
        <item x="2633"/>
        <item x="2781"/>
        <item x="2762"/>
        <item x="3215"/>
        <item x="2988"/>
        <item x="2637"/>
        <item x="2140"/>
        <item x="2287"/>
        <item x="2953"/>
        <item x="2904"/>
        <item x="2149"/>
        <item x="1591"/>
        <item x="2697"/>
        <item x="1653"/>
        <item x="2818"/>
        <item x="1766"/>
        <item x="2782"/>
        <item x="2951"/>
        <item x="2812"/>
        <item x="3397"/>
        <item x="606"/>
        <item x="3356"/>
        <item x="2171"/>
        <item x="3178"/>
        <item x="619"/>
        <item x="2958"/>
        <item x="2849"/>
        <item x="2882"/>
        <item x="2702"/>
        <item x="2752"/>
        <item x="1156"/>
        <item x="2245"/>
        <item x="2282"/>
        <item x="2208"/>
        <item x="52"/>
        <item x="1701"/>
        <item x="1697"/>
        <item x="2852"/>
        <item x="2690"/>
        <item x="2279"/>
        <item x="2552"/>
        <item x="2573"/>
        <item x="2354"/>
        <item x="3326"/>
        <item x="2786"/>
        <item x="2462"/>
        <item x="2928"/>
        <item x="82"/>
        <item x="634"/>
        <item x="2917"/>
        <item x="1139"/>
        <item x="658"/>
        <item x="2480"/>
        <item x="2562"/>
        <item x="3413"/>
        <item x="2918"/>
        <item x="2703"/>
        <item x="2949"/>
        <item x="2220"/>
        <item x="1909"/>
        <item x="2452"/>
        <item x="1757"/>
        <item x="2787"/>
        <item x="1069"/>
        <item x="2382"/>
        <item x="2580"/>
        <item x="2611"/>
        <item x="2845"/>
        <item x="2956"/>
        <item x="2350"/>
        <item x="2352"/>
        <item x="2518"/>
        <item x="2423"/>
        <item x="2424"/>
        <item x="1195"/>
        <item x="2453"/>
        <item x="2522"/>
        <item x="2362"/>
        <item x="3202"/>
        <item x="2555"/>
        <item x="3339"/>
        <item x="2387"/>
        <item x="2201"/>
        <item x="2848"/>
        <item x="2200"/>
        <item x="2653"/>
        <item x="2361"/>
        <item x="2048"/>
        <item x="3256"/>
        <item x="2629"/>
        <item x="1783"/>
        <item x="2431"/>
        <item x="2432"/>
        <item x="2972"/>
        <item x="2672"/>
        <item x="1542"/>
        <item x="2813"/>
        <item x="2342"/>
        <item x="2506"/>
        <item x="2712"/>
        <item x="2995"/>
        <item x="2433"/>
        <item x="1534"/>
        <item x="2320"/>
        <item x="1866"/>
        <item x="3144"/>
        <item x="563"/>
        <item x="1853"/>
        <item x="2455"/>
        <item x="3298"/>
        <item x="1961"/>
        <item x="2524"/>
        <item x="2274"/>
        <item x="1768"/>
        <item x="929"/>
        <item x="1824"/>
        <item x="3405"/>
        <item x="666"/>
        <item x="1785"/>
        <item x="2446"/>
        <item x="2343"/>
        <item x="1698"/>
        <item x="2370"/>
        <item x="2266"/>
        <item x="2863"/>
        <item x="776"/>
        <item x="1089"/>
        <item x="2788"/>
        <item x="3095"/>
        <item x="2296"/>
        <item x="2303"/>
        <item x="607"/>
        <item x="2371"/>
        <item x="2666"/>
        <item x="2828"/>
        <item x="1103"/>
        <item x="363"/>
        <item x="2376"/>
        <item x="561"/>
        <item x="2792"/>
        <item x="1784"/>
        <item x="3412"/>
        <item x="2862"/>
        <item x="1702"/>
        <item x="1985"/>
        <item x="2212"/>
        <item x="3349"/>
        <item x="3327"/>
        <item x="2139"/>
        <item x="3212"/>
        <item x="2831"/>
        <item x="1846"/>
        <item x="1704"/>
        <item x="2039"/>
        <item x="3241"/>
        <item x="2569"/>
        <item x="2500"/>
        <item x="3319"/>
        <item x="1720"/>
        <item x="3276"/>
        <item x="562"/>
        <item x="2501"/>
        <item x="2854"/>
        <item x="1737"/>
        <item x="2190"/>
        <item x="548"/>
        <item x="2926"/>
        <item x="1962"/>
        <item x="959"/>
        <item x="1194"/>
        <item x="2381"/>
        <item x="2804"/>
        <item x="2994"/>
        <item x="777"/>
        <item x="2388"/>
        <item x="2499"/>
        <item x="295"/>
        <item x="3283"/>
        <item x="2877"/>
        <item x="1869"/>
        <item x="2144"/>
        <item x="3129"/>
        <item x="528"/>
        <item x="2929"/>
        <item x="2638"/>
        <item x="2402"/>
        <item x="2456"/>
        <item x="3409"/>
        <item x="1045"/>
        <item x="2191"/>
        <item x="1518"/>
        <item x="2621"/>
        <item x="2326"/>
        <item x="2829"/>
        <item x="3109"/>
        <item x="2801"/>
        <item x="2203"/>
        <item x="2933"/>
        <item x="2509"/>
        <item x="2465"/>
        <item x="2713"/>
        <item x="829"/>
        <item x="667"/>
        <item x="2189"/>
        <item x="1246"/>
        <item x="362"/>
        <item x="194"/>
        <item x="443"/>
        <item x="1654"/>
        <item x="369"/>
        <item x="2556"/>
        <item x="2466"/>
        <item x="2727"/>
        <item x="1626"/>
        <item x="1289"/>
        <item x="2957"/>
        <item x="2259"/>
        <item x="3426"/>
        <item x="2199"/>
        <item x="732"/>
        <item x="1394"/>
        <item x="1488"/>
        <item x="409"/>
        <item x="2934"/>
        <item x="2283"/>
        <item x="472"/>
        <item x="2911"/>
        <item x="434"/>
        <item x="2367"/>
        <item x="2158"/>
        <item x="2478"/>
        <item x="2791"/>
        <item x="3161"/>
        <item x="1894"/>
        <item x="2802"/>
        <item x="1983"/>
        <item x="2270"/>
        <item x="2244"/>
        <item x="3362"/>
        <item x="516"/>
        <item x="3176"/>
        <item x="3403"/>
        <item x="2789"/>
        <item x="3369"/>
        <item x="500"/>
        <item x="2864"/>
        <item x="1241"/>
        <item x="357"/>
        <item x="3210"/>
        <item x="1627"/>
        <item x="2930"/>
        <item x="2743"/>
        <item x="1017"/>
        <item x="3255"/>
        <item x="635"/>
        <item x="1688"/>
        <item x="1958"/>
        <item x="698"/>
        <item x="3097"/>
        <item x="1663"/>
        <item x="1767"/>
        <item x="2497"/>
        <item x="3242"/>
        <item x="2313"/>
        <item x="198"/>
        <item x="3325"/>
        <item x="3138"/>
        <item x="2180"/>
        <item x="529"/>
        <item x="2905"/>
        <item x="308"/>
        <item x="2909"/>
        <item x="3402"/>
        <item x="2627"/>
        <item x="3158"/>
        <item x="1030"/>
        <item x="1944"/>
        <item x="2405"/>
        <item x="2790"/>
        <item x="2931"/>
        <item x="1266"/>
        <item x="2429"/>
        <item x="2463"/>
        <item x="2964"/>
        <item x="2927"/>
        <item x="306"/>
        <item x="3296"/>
        <item x="668"/>
        <item x="1034"/>
        <item x="2834"/>
        <item x="2464"/>
        <item x="2469"/>
        <item x="3132"/>
        <item x="2184"/>
        <item x="1722"/>
        <item x="3209"/>
        <item x="1789"/>
        <item x="355"/>
        <item x="714"/>
        <item x="1046"/>
        <item x="2298"/>
        <item x="1897"/>
        <item x="1247"/>
        <item x="2444"/>
        <item x="2493"/>
        <item x="2963"/>
        <item x="336"/>
        <item x="3028"/>
        <item x="3370"/>
        <item x="2670"/>
        <item x="1028"/>
        <item x="2912"/>
        <item x="2855"/>
        <item x="422"/>
        <item x="3111"/>
        <item x="1672"/>
        <item x="3347"/>
        <item x="360"/>
        <item x="3359"/>
        <item x="2041"/>
        <item x="1070"/>
        <item x="669"/>
        <item x="493"/>
        <item x="2311"/>
        <item x="2540"/>
        <item x="2920"/>
        <item x="2750"/>
        <item x="1713"/>
        <item x="2425"/>
        <item x="2885"/>
        <item x="1700"/>
        <item x="1769"/>
        <item x="2471"/>
        <item x="2600"/>
        <item x="1029"/>
        <item x="197"/>
        <item x="3091"/>
        <item x="2961"/>
        <item x="2835"/>
        <item x="2396"/>
        <item x="465"/>
        <item x="2718"/>
        <item x="311"/>
        <item x="2688"/>
        <item x="2922"/>
        <item x="325"/>
        <item x="553"/>
        <item x="333"/>
        <item x="3157"/>
        <item x="3357"/>
        <item x="352"/>
        <item x="536"/>
        <item x="1621"/>
        <item x="587"/>
        <item x="3306"/>
        <item x="721"/>
        <item x="466"/>
        <item x="3410"/>
        <item x="882"/>
        <item x="1328"/>
        <item x="3420"/>
        <item x="2587"/>
        <item x="1213"/>
        <item x="2186"/>
        <item x="323"/>
        <item x="324"/>
        <item x="342"/>
        <item x="2513"/>
        <item x="3029"/>
        <item x="2632"/>
        <item x="3270"/>
        <item x="196"/>
        <item x="3431"/>
        <item x="331"/>
        <item x="2138"/>
        <item x="321"/>
        <item x="3353"/>
        <item x="193"/>
        <item x="3305"/>
        <item x="2578"/>
        <item x="2858"/>
        <item x="1942"/>
        <item x="2118"/>
        <item x="2784"/>
        <item x="3360"/>
        <item x="2760"/>
        <item x="3131"/>
        <item x="2249"/>
        <item x="2754"/>
        <item x="2820"/>
        <item x="2883"/>
        <item x="2308"/>
        <item x="2663"/>
        <item x="1699"/>
        <item x="3166"/>
        <item x="2516"/>
        <item x="3149"/>
        <item x="340"/>
        <item x="2079"/>
        <item x="195"/>
        <item x="1566"/>
        <item x="2567"/>
        <item x="3104"/>
        <item x="1417"/>
        <item x="1659"/>
        <item x="441"/>
        <item x="1673"/>
        <item x="2390"/>
        <item x="636"/>
        <item x="1539"/>
        <item x="685"/>
        <item x="2785"/>
        <item x="3291"/>
        <item x="367"/>
        <item x="2418"/>
        <item x="3201"/>
        <item x="722"/>
        <item x="2523"/>
        <item x="457"/>
        <item x="2359"/>
        <item x="192"/>
        <item x="3391"/>
        <item x="2392"/>
        <item x="3271"/>
        <item x="813"/>
        <item x="1662"/>
        <item x="1133"/>
        <item x="2886"/>
        <item x="470"/>
        <item x="2400"/>
        <item x="284"/>
        <item x="3200"/>
        <item x="2561"/>
        <item x="3396"/>
        <item x="2553"/>
        <item x="3352"/>
        <item x="2572"/>
        <item x="2664"/>
        <item x="1687"/>
        <item x="3150"/>
        <item x="3374"/>
        <item x="2421"/>
        <item x="2659"/>
        <item x="3395"/>
        <item x="1565"/>
        <item x="2473"/>
        <item x="432"/>
        <item x="3309"/>
        <item x="2859"/>
        <item x="2736"/>
        <item x="2545"/>
        <item x="2145"/>
        <item x="2269"/>
        <item x="605"/>
        <item x="2412"/>
        <item x="3355"/>
        <item x="2946"/>
        <item x="11"/>
        <item x="2984"/>
        <item x="2998"/>
        <item x="2725"/>
        <item x="20"/>
        <item x="2227"/>
        <item x="2574"/>
        <item x="2711"/>
        <item x="0"/>
        <item x="19"/>
        <item x="21"/>
        <item x="23"/>
        <item x="2986"/>
        <item x="2890"/>
        <item x="22"/>
        <item x="6"/>
        <item x="2606"/>
        <item x="27"/>
        <item x="15"/>
        <item x="2461"/>
        <item x="257"/>
        <item x="2605"/>
        <item x="2604"/>
        <item x="2"/>
        <item x="13"/>
        <item x="2594"/>
        <item x="2592"/>
        <item x="2369"/>
        <item x="7"/>
        <item x="28"/>
        <item x="2643"/>
        <item x="1409"/>
        <item x="14"/>
        <item x="3"/>
        <item x="2642"/>
        <item x="1415"/>
        <item x="2651"/>
        <item x="2426"/>
        <item x="3008"/>
        <item x="16"/>
        <item x="39"/>
        <item x="8"/>
        <item x="2891"/>
        <item x="3003"/>
        <item x="3024"/>
        <item x="163"/>
        <item x="1"/>
        <item x="70"/>
        <item x="2226"/>
        <item x="2273"/>
        <item x="3388"/>
        <item x="68"/>
        <item x="3295"/>
        <item x="12"/>
        <item x="17"/>
        <item x="177"/>
        <item x="2996"/>
        <item x="63"/>
        <item x="2307"/>
        <item x="75"/>
        <item x="2280"/>
        <item x="79"/>
        <item x="1502"/>
        <item x="2959"/>
        <item x="2602"/>
        <item x="51"/>
        <item x="217"/>
        <item x="1503"/>
        <item x="1715"/>
        <item x="565"/>
        <item x="2601"/>
        <item x="2708"/>
        <item x="2502"/>
        <item x="1723"/>
        <item x="2865"/>
        <item x="580"/>
        <item x="2268"/>
        <item x="101"/>
        <item x="1901"/>
        <item x="2729"/>
        <item x="3128"/>
        <item x="1443"/>
        <item x="269"/>
        <item x="2228"/>
        <item x="2472"/>
        <item x="2193"/>
        <item x="1362"/>
        <item x="3133"/>
        <item x="1254"/>
        <item x="511"/>
        <item x="2123"/>
        <item x="417"/>
        <item x="158"/>
        <item x="2420"/>
        <item x="1115"/>
        <item x="412"/>
        <item x="2997"/>
        <item x="383"/>
        <item x="1059"/>
        <item x="1116"/>
        <item x="252"/>
        <item x="2347"/>
        <item x="2302"/>
        <item x="517"/>
        <item x="1082"/>
        <item x="1060"/>
        <item x="1383"/>
        <item x="2355"/>
        <item x="3299"/>
        <item x="3027"/>
        <item x="1892"/>
        <item x="2117"/>
        <item x="18"/>
        <item x="932"/>
        <item x="31"/>
        <item x="1442"/>
        <item x="2474"/>
        <item x="2966"/>
        <item x="3087"/>
        <item x="1363"/>
        <item x="3089"/>
        <item x="1811"/>
        <item x="2853"/>
        <item x="69"/>
        <item x="2993"/>
        <item x="2498"/>
        <item x="2947"/>
        <item x="2104"/>
        <item x="2866"/>
        <item x="1255"/>
        <item x="885"/>
        <item x="2503"/>
        <item x="922"/>
        <item x="175"/>
        <item x="1229"/>
        <item x="2599"/>
        <item x="3067"/>
        <item x="403"/>
        <item x="1634"/>
        <item x="1365"/>
        <item x="3050"/>
        <item x="172"/>
        <item x="1882"/>
        <item x="883"/>
        <item x="3079"/>
        <item x="451"/>
        <item x="1727"/>
        <item x="975"/>
        <item x="1506"/>
        <item x="1424"/>
        <item x="168"/>
        <item x="2733"/>
        <item x="3032"/>
        <item x="3145"/>
        <item x="2176"/>
        <item x="1905"/>
        <item x="3302"/>
        <item x="2194"/>
        <item x="280"/>
        <item x="3246"/>
        <item x="556"/>
        <item x="1063"/>
        <item x="1467"/>
        <item x="2197"/>
        <item x="1444"/>
        <item x="176"/>
        <item x="1489"/>
        <item x="2124"/>
        <item x="2826"/>
        <item x="315"/>
        <item x="2346"/>
        <item x="1225"/>
        <item x="411"/>
        <item x="1519"/>
        <item x="206"/>
        <item x="169"/>
        <item x="2365"/>
        <item x="555"/>
        <item x="2874"/>
        <item x="2639"/>
        <item x="1746"/>
        <item x="1201"/>
        <item x="84"/>
        <item x="85"/>
        <item x="95"/>
        <item x="1879"/>
        <item x="2884"/>
        <item x="1949"/>
        <item x="1791"/>
        <item x="1528"/>
        <item x="2210"/>
        <item x="3023"/>
        <item x="522"/>
        <item x="2674"/>
        <item x="1100"/>
        <item x="131"/>
        <item x="2054"/>
        <item x="2640"/>
        <item x="2125"/>
        <item x="3123"/>
        <item x="891"/>
        <item x="4"/>
        <item x="2707"/>
        <item x="36"/>
        <item x="71"/>
        <item x="78"/>
        <item x="94"/>
        <item x="93"/>
        <item x="130"/>
        <item x="2745"/>
        <item x="2647"/>
        <item x="1147"/>
        <item x="3301"/>
        <item x="3313"/>
        <item x="2325"/>
        <item x="73"/>
        <item x="2873"/>
        <item x="2177"/>
        <item x="2896"/>
        <item x="2897"/>
        <item x="46"/>
        <item x="220"/>
        <item x="10"/>
        <item x="3009"/>
        <item x="2207"/>
        <item x="142"/>
        <item x="474"/>
        <item x="3430"/>
        <item x="254"/>
        <item x="253"/>
        <item x="162"/>
        <item x="161"/>
        <item x="2167"/>
        <item x="2598"/>
        <item x="135"/>
        <item x="129"/>
        <item x="132"/>
        <item x="1831"/>
        <item x="1207"/>
        <item x="1151"/>
        <item x="235"/>
        <item x="231"/>
        <item x="2730"/>
        <item x="1904"/>
        <item x="123"/>
        <item x="25"/>
        <item x="153"/>
        <item x="1907"/>
        <item x="66"/>
        <item x="1530"/>
        <item x="64"/>
        <item x="136"/>
        <item x="53"/>
        <item x="268"/>
        <item x="144"/>
        <item x="145"/>
        <item x="265"/>
        <item x="138"/>
        <item x="140"/>
        <item x="272"/>
        <item x="97"/>
        <item x="1330"/>
        <item x="57"/>
        <item x="2318"/>
        <item x="2798"/>
        <item x="44"/>
        <item x="274"/>
        <item x="49"/>
        <item x="3081"/>
        <item x="275"/>
        <item x="48"/>
        <item x="3181"/>
        <item x="40"/>
        <item x="115"/>
        <item x="117"/>
        <item x="2944"/>
        <item x="1505"/>
        <item x="121"/>
        <item x="181"/>
        <item x="2195"/>
        <item x="2344"/>
        <item x="42"/>
        <item x="184"/>
        <item x="2806"/>
        <item x="2174"/>
        <item x="974"/>
        <item x="76"/>
        <item x="970"/>
        <item x="259"/>
        <item x="159"/>
        <item x="59"/>
        <item x="215"/>
        <item x="2064"/>
        <item x="188"/>
        <item x="972"/>
        <item x="2715"/>
        <item x="61"/>
        <item x="1079"/>
        <item x="2720"/>
        <item x="55"/>
        <item x="2375"/>
        <item x="1649"/>
        <item x="3037"/>
        <item x="1588"/>
        <item x="1609"/>
        <item x="1535"/>
        <item x="1606"/>
        <item x="351"/>
        <item x="348"/>
        <item x="165"/>
        <item x="1616"/>
        <item x="1146"/>
        <item x="1597"/>
        <item x="281"/>
        <item x="345"/>
        <item x="1155"/>
        <item x="2222"/>
        <item x="118"/>
        <item x="2219"/>
        <item x="2649"/>
        <item x="1615"/>
        <item x="329"/>
        <item x="183"/>
        <item x="2205"/>
        <item x="2678"/>
        <item x="1036"/>
        <item x="278"/>
        <item x="261"/>
        <item x="2086"/>
        <item x="1007"/>
        <item x="305"/>
        <item x="1051"/>
        <item x="304"/>
        <item x="301"/>
        <item x="294"/>
        <item x="1114"/>
        <item x="2063"/>
        <item x="1078"/>
        <item x="1235"/>
        <item x="1144"/>
        <item x="2293"/>
        <item x="2211"/>
        <item x="216"/>
        <item x="2215"/>
        <item x="460"/>
        <item x="228"/>
        <item x="1204"/>
        <item x="1196"/>
        <item x="1976"/>
        <item x="3380"/>
        <item x="468"/>
        <item x="850"/>
        <item x="2902"/>
        <item x="890"/>
        <item x="464"/>
        <item x="980"/>
        <item x="2721"/>
        <item x="1055"/>
        <item x="1057"/>
        <item x="463"/>
        <item x="1263"/>
        <item x="877"/>
        <item x="3173"/>
        <item x="2511"/>
        <item x="1250"/>
        <item x="1446"/>
        <item x="1130"/>
        <item x="2128"/>
        <item x="513"/>
        <item x="1110"/>
        <item x="878"/>
        <item x="647"/>
        <item x="1053"/>
        <item x="2417"/>
        <item x="2134"/>
        <item x="2439"/>
        <item x="2411"/>
        <item x="1132"/>
        <item x="173"/>
        <item x="2183"/>
        <item x="2450"/>
        <item x="2825"/>
        <item x="1577"/>
        <item x="154"/>
        <item x="346"/>
        <item x="2936"/>
        <item x="147"/>
        <item x="1450"/>
        <item x="981"/>
        <item x="2520"/>
        <item x="420"/>
        <item x="2102"/>
        <item x="227"/>
        <item x="354"/>
        <item x="2133"/>
        <item x="320"/>
        <item x="328"/>
        <item x="149"/>
        <item x="2166"/>
        <item x="794"/>
        <item x="2136"/>
        <item x="2374"/>
        <item x="2404"/>
        <item x="151"/>
        <item x="2705"/>
        <item x="232"/>
        <item x="2364"/>
        <item x="1109"/>
        <item x="769"/>
        <item x="951"/>
        <item x="2550"/>
        <item x="804"/>
        <item x="2565"/>
        <item x="399"/>
        <item x="785"/>
        <item x="2337"/>
        <item x="3060"/>
        <item x="2332"/>
        <item x="770"/>
        <item x="823"/>
        <item x="611"/>
        <item x="2356"/>
        <item x="456"/>
        <item x="654"/>
        <item x="824"/>
        <item x="2127"/>
        <item x="2170"/>
        <item x="651"/>
        <item x="454"/>
        <item x="867"/>
        <item x="3126"/>
        <item x="496"/>
        <item x="661"/>
        <item x="178"/>
        <item x="1584"/>
        <item x="2925"/>
        <item x="2943"/>
        <item x="2366"/>
        <item x="3121"/>
        <item x="1617"/>
        <item x="401"/>
        <item x="3082"/>
        <item x="2940"/>
        <item x="3191"/>
        <item x="3135"/>
        <item x="3279"/>
        <item x="1602"/>
        <item x="1200"/>
        <item x="416"/>
        <item x="3193"/>
        <item x="609"/>
        <item x="88"/>
        <item x="3147"/>
        <item x="3120"/>
        <item x="3277"/>
        <item x="1281"/>
        <item x="2033"/>
        <item x="3233"/>
        <item x="3222"/>
        <item x="3204"/>
        <item x="2394"/>
        <item x="90"/>
        <item x="3225"/>
        <item x="2399"/>
        <item x="1632"/>
        <item x="3235"/>
        <item x="372"/>
        <item x="1245"/>
        <item x="643"/>
        <item x="473"/>
        <item x="1290"/>
        <item x="1256"/>
        <item x="102"/>
        <item x="98"/>
        <item x="904"/>
        <item x="2025"/>
        <item x="213"/>
        <item x="2032"/>
        <item x="1731"/>
        <item x="2050"/>
        <item x="1712"/>
        <item x="1347"/>
        <item x="1264"/>
        <item x="1734"/>
        <item x="484"/>
        <item x="1010"/>
        <item x="2156"/>
        <item x="1716"/>
        <item x="1650"/>
        <item x="488"/>
        <item x="1644"/>
        <item x="1755"/>
        <item x="1479"/>
        <item x="683"/>
        <item x="649"/>
        <item x="650"/>
        <item x="992"/>
        <item x="3367"/>
        <item x="481"/>
        <item x="1012"/>
        <item x="684"/>
        <item x="965"/>
        <item x="986"/>
        <item x="993"/>
        <item x="1480"/>
        <item x="1545"/>
        <item x="3344"/>
        <item x="2618"/>
        <item x="628"/>
        <item x="2141"/>
        <item x="616"/>
        <item x="923"/>
        <item x="998"/>
        <item x="1187"/>
        <item x="594"/>
        <item x="3381"/>
        <item x="999"/>
        <item x="598"/>
        <item x="995"/>
        <item x="988"/>
        <item x="1967"/>
        <item x="615"/>
        <item x="3346"/>
        <item x="1576"/>
        <item x="1368"/>
        <item x="167"/>
        <item x="960"/>
        <item x="1376"/>
        <item x="1378"/>
        <item x="245"/>
        <item x="279"/>
        <item x="1381"/>
        <item x="1382"/>
        <item x="122"/>
        <item x="109"/>
        <item x="110"/>
        <item x="111"/>
        <item x="928"/>
        <item x="3365"/>
        <item x="610"/>
        <item x="2011"/>
        <item x="3342"/>
        <item x="677"/>
        <item x="1154"/>
        <item x="2586"/>
        <item x="1665"/>
        <item x="3358"/>
        <item x="3044"/>
        <item x="262"/>
        <item x="427"/>
        <item x="3337"/>
        <item x="426"/>
        <item x="900"/>
        <item x="1876"/>
        <item x="3042"/>
        <item x="895"/>
        <item x="893"/>
        <item x="1740"/>
        <item x="1670"/>
        <item x="2168"/>
        <item x="3043"/>
        <item x="1319"/>
        <item x="758"/>
        <item x="2082"/>
        <item x="492"/>
        <item x="2098"/>
        <item x="655"/>
        <item x="759"/>
        <item x="3338"/>
        <item x="491"/>
        <item x="3408"/>
        <item x="3336"/>
        <item x="760"/>
        <item x="1590"/>
        <item x="2067"/>
        <item x="440"/>
        <item x="392"/>
        <item x="370"/>
        <item x="903"/>
        <item x="1052"/>
        <item x="3329"/>
        <item x="761"/>
        <item x="571"/>
        <item x="1385"/>
        <item x="897"/>
        <item x="242"/>
        <item x="2584"/>
        <item x="772"/>
        <item x="570"/>
        <item x="495"/>
        <item x="773"/>
        <item x="3400"/>
        <item x="1049"/>
        <item x="3439"/>
        <item x="901"/>
        <item x="1992"/>
        <item x="3324"/>
        <item x="446"/>
        <item x="1149"/>
        <item x="2088"/>
        <item x="2001"/>
        <item x="1553"/>
        <item x="665"/>
        <item x="2566"/>
        <item x="2008"/>
        <item x="1582"/>
        <item x="2093"/>
        <item x="1411"/>
        <item x="408"/>
        <item x="1560"/>
        <item x="1594"/>
        <item x="3401"/>
        <item x="1390"/>
        <item x="1434"/>
        <item x="791"/>
        <item x="2114"/>
        <item x="3318"/>
        <item x="1563"/>
        <item x="469"/>
        <item x="2096"/>
        <item x="1416"/>
        <item x="3229"/>
        <item x="1422"/>
        <item x="1549"/>
        <item x="3125"/>
        <item x="3232"/>
        <item x="3148"/>
        <item x="1035"/>
        <item x="934"/>
        <item x="1656"/>
        <item x="1431"/>
        <item x="924"/>
        <item x="1453"/>
        <item x="2099"/>
        <item x="3195"/>
        <item x="503"/>
        <item x="584"/>
        <item x="2111"/>
        <item x="1537"/>
        <item x="244"/>
        <item x="2091"/>
        <item x="2407"/>
        <item x="2624"/>
        <item x="1206"/>
        <item x="2070"/>
        <item x="1694"/>
        <item x="1323"/>
        <item x="1168"/>
        <item x="1205"/>
        <item x="1908"/>
        <item x="3056"/>
        <item x="3398"/>
        <item x="2655"/>
        <item x="2416"/>
        <item x="2609"/>
        <item x="3066"/>
        <item x="350"/>
        <item x="3251"/>
        <item x="2531"/>
        <item x="1277"/>
        <item x="1551"/>
        <item x="2408"/>
        <item x="2055"/>
        <item x="585"/>
        <item x="1556"/>
        <item x="1285"/>
        <item x="1668"/>
        <item x="3265"/>
        <item x="1884"/>
        <item x="2668"/>
        <item x="1589"/>
        <item x="1604"/>
        <item x="3227"/>
        <item x="3070"/>
        <item x="319"/>
        <item x="3390"/>
        <item x="2597"/>
        <item x="374"/>
        <item x="2682"/>
        <item x="3196"/>
        <item x="402"/>
        <item x="2097"/>
        <item x="3051"/>
        <item x="3059"/>
        <item x="2607"/>
        <item x="2538"/>
        <item x="1790"/>
        <item x="3065"/>
        <item x="3063"/>
        <item x="1881"/>
        <item x="1889"/>
        <item x="2716"/>
        <item x="1062"/>
        <item x="3055"/>
        <item x="185"/>
        <item x="2656"/>
        <item x="3260"/>
        <item x="1622"/>
        <item x="314"/>
        <item x="2577"/>
        <item x="2741"/>
        <item x="2030"/>
        <item x="3438"/>
        <item x="3263"/>
        <item x="3189"/>
        <item x="2768"/>
        <item x="3072"/>
        <item x="1581"/>
        <item x="3411"/>
        <item x="1796"/>
        <item x="1311"/>
        <item x="2724"/>
        <item x="2576"/>
        <item x="1068"/>
        <item x="182"/>
        <item x="1605"/>
        <item x="2795"/>
        <item x="2676"/>
        <item x="3155"/>
        <item x="3264"/>
        <item x="3118"/>
        <item x="1778"/>
        <item x="2559"/>
        <item x="3238"/>
        <item x="3244"/>
        <item x="1641"/>
        <item x="2379"/>
        <item x="3333"/>
        <item x="2109"/>
        <item x="2734"/>
        <item x="1299"/>
        <item x="1233"/>
        <item x="1599"/>
        <item x="2107"/>
        <item x="915"/>
        <item x="1631"/>
        <item x="2686"/>
        <item x="293"/>
        <item x="1629"/>
        <item x="2334"/>
        <item x="3221"/>
        <item x="2742"/>
        <item x="1197"/>
        <item x="3207"/>
        <item x="1838"/>
        <item x="1293"/>
        <item x="3249"/>
        <item x="3033"/>
        <item x="1742"/>
        <item x="2823"/>
        <item x="2645"/>
        <item x="2821"/>
        <item x="1073"/>
        <item x="1636"/>
        <item x="2839"/>
        <item x="1832"/>
        <item x="1861"/>
        <item x="2811"/>
        <item x="3433"/>
        <item x="3184"/>
        <item x="2658"/>
        <item x="2772"/>
        <item x="1072"/>
        <item x="817"/>
        <item x="366"/>
        <item x="2617"/>
        <item x="2027"/>
        <item x="2626"/>
        <item x="2031"/>
        <item x="2662"/>
        <item x="3172"/>
        <item x="2756"/>
        <item x="1105"/>
        <item x="3165"/>
        <item x="2765"/>
        <item x="1037"/>
        <item x="3156"/>
        <item x="2842"/>
        <item x="3368"/>
        <item x="3136"/>
        <item x="430"/>
        <item x="1312"/>
        <item x="2695"/>
        <item x="3103"/>
        <item x="1979"/>
        <item x="2687"/>
        <item x="858"/>
        <item x="2528"/>
        <item x="2652"/>
        <item x="2693"/>
        <item x="3332"/>
        <item x="2827"/>
        <item x="2872"/>
        <item x="1272"/>
        <item x="3137"/>
        <item x="1738"/>
        <item x="1667"/>
        <item x="3049"/>
        <item x="2771"/>
        <item x="3183"/>
        <item x="3208"/>
        <item x="2258"/>
        <item x="3425"/>
        <item x="2710"/>
        <item x="1175"/>
        <item x="913"/>
        <item x="1689"/>
        <item x="1252"/>
        <item x="1827"/>
        <item x="876"/>
        <item x="1111"/>
        <item x="1182"/>
        <item x="2723"/>
        <item x="2735"/>
        <item x="34"/>
        <item x="1183"/>
        <item x="918"/>
        <item x="2024"/>
        <item x="935"/>
        <item x="2488"/>
        <item x="2942"/>
        <item x="1812"/>
        <item x="859"/>
        <item x="1729"/>
        <item x="1802"/>
        <item x="857"/>
        <item x="1692"/>
        <item x="3164"/>
        <item x="1678"/>
        <item x="2059"/>
        <item x="1087"/>
        <item x="3162"/>
        <item x="2505"/>
        <item x="2058"/>
        <item x="1066"/>
        <item x="1091"/>
        <item x="2759"/>
        <item x="505"/>
        <item x="3021"/>
        <item x="1244"/>
        <item x="2438"/>
        <item x="1096"/>
        <item x="3290"/>
        <item x="2492"/>
        <item x="826"/>
        <item x="266"/>
        <item x="1456"/>
        <item x="3002"/>
        <item x="3174"/>
        <item x="2248"/>
        <item x="3036"/>
        <item x="1236"/>
        <item x="376"/>
        <item x="3085"/>
        <item x="2460"/>
        <item x="3031"/>
        <item x="967"/>
        <item x="3418"/>
        <item x="359"/>
        <item x="884"/>
        <item x="2232"/>
        <item x="868"/>
        <item x="1971"/>
        <item x="2076"/>
        <item x="1134"/>
        <item x="2231"/>
        <item x="199"/>
        <item x="3005"/>
        <item x="1995"/>
        <item x="1322"/>
        <item x="3419"/>
        <item x="1546"/>
        <item x="630"/>
        <item x="2081"/>
        <item x="1219"/>
        <item x="906"/>
        <item x="2532"/>
        <item x="987"/>
        <item x="2310"/>
        <item x="1540"/>
        <item x="1913"/>
        <item x="1885"/>
        <item x="2537"/>
        <item x="1211"/>
        <item x="2539"/>
        <item x="3304"/>
        <item x="944"/>
        <item x="2272"/>
        <item x="2087"/>
        <item x="2094"/>
        <item x="2534"/>
        <item x="1140"/>
        <item x="1941"/>
        <item x="1952"/>
        <item x="1572"/>
        <item x="1950"/>
        <item x="2435"/>
        <item x="1929"/>
        <item x="2889"/>
        <item x="2441"/>
        <item x="2544"/>
        <item x="3102"/>
        <item x="800"/>
        <item x="1891"/>
        <item x="2443"/>
        <item x="2389"/>
        <item x="1954"/>
        <item x="799"/>
        <item x="1561"/>
        <item x="518"/>
        <item x="2113"/>
        <item x="2243"/>
        <item x="1982"/>
        <item x="1567"/>
        <item x="1873"/>
        <item x="814"/>
        <item x="1547"/>
        <item x="2841"/>
        <item x="2247"/>
        <item x="2049"/>
        <item x="816"/>
        <item x="1507"/>
        <item x="956"/>
        <item x="2894"/>
        <item x="1970"/>
        <item x="2843"/>
        <item x="2491"/>
        <item x="1161"/>
        <item x="1558"/>
        <item x="2316"/>
        <item x="3007"/>
        <item x="2330"/>
        <item x="2477"/>
        <item x="1994"/>
        <item x="2181"/>
        <item x="1825"/>
        <item x="1307"/>
        <item x="2910"/>
        <item x="2968"/>
        <item x="1510"/>
        <item x="2948"/>
        <item x="1282"/>
        <item x="3185"/>
        <item x="2939"/>
        <item x="1978"/>
        <item x="1366"/>
        <item x="1501"/>
        <item x="1839"/>
        <item x="3015"/>
        <item x="2319"/>
        <item x="393"/>
        <item x="2295"/>
        <item x="1808"/>
        <item x="394"/>
        <item x="1835"/>
        <item x="2960"/>
        <item x="949"/>
        <item x="1392"/>
        <item x="1924"/>
        <item x="1937"/>
        <item x="1910"/>
        <item x="2508"/>
        <item x="2748"/>
        <item x="1404"/>
        <item x="1765"/>
        <item x="3018"/>
        <item x="3308"/>
        <item x="1921"/>
        <item x="1349"/>
        <item x="707"/>
        <item x="1306"/>
        <item x="2749"/>
        <item x="1637"/>
        <item x="1335"/>
        <item x="2515"/>
        <item x="699"/>
        <item x="2769"/>
        <item x="941"/>
        <item x="844"/>
        <item x="2163"/>
        <item x="1396"/>
        <item x="2016"/>
        <item x="843"/>
        <item x="1709"/>
        <item x="733"/>
        <item x="1779"/>
        <item x="1493"/>
        <item x="2800"/>
        <item x="1685"/>
        <item x="1166"/>
        <item x="1803"/>
        <item x="1171"/>
        <item x="1159"/>
        <item x="1352"/>
        <item x="365"/>
        <item x="870"/>
        <item x="525"/>
        <item x="413"/>
        <item x="1863"/>
        <item x="1848"/>
        <item x="1903"/>
        <item x="1064"/>
        <item x="3052"/>
        <item x="1326"/>
        <item x="204"/>
        <item x="201"/>
        <item x="202"/>
        <item x="338"/>
        <item x="2770"/>
        <item x="2294"/>
        <item x="958"/>
        <item x="330"/>
        <item x="662"/>
        <item x="2732"/>
        <item x="1176"/>
        <item x="1851"/>
        <item x="962"/>
        <item x="1023"/>
        <item x="917"/>
        <item x="2131"/>
        <item x="300"/>
        <item x="873"/>
        <item x="1573"/>
        <item x="1083"/>
        <item x="3110"/>
        <item x="1732"/>
        <item x="1855"/>
        <item x="2981"/>
        <item x="860"/>
        <item x="2796"/>
        <item x="1022"/>
        <item x="676"/>
        <item x="1086"/>
        <item x="955"/>
        <item x="1860"/>
        <item x="1775"/>
        <item x="3240"/>
        <item x="2807"/>
        <item x="1930"/>
        <item x="1403"/>
        <item x="1148"/>
        <item x="1772"/>
        <item x="288"/>
        <item x="2683"/>
        <item x="2757"/>
        <item x="291"/>
        <item x="3020"/>
        <item x="3254"/>
        <item x="2560"/>
        <item x="1448"/>
        <item x="1828"/>
        <item x="236"/>
        <item x="1809"/>
        <item x="1575"/>
        <item x="3266"/>
        <item x="289"/>
        <item x="3252"/>
        <item x="1939"/>
        <item x="1813"/>
        <item x="1706"/>
        <item x="2979"/>
        <item x="735"/>
        <item x="1031"/>
        <item x="1800"/>
        <item x="1039"/>
        <item x="1009"/>
        <item x="1494"/>
        <item x="479"/>
        <item x="1040"/>
        <item x="1388"/>
        <item x="689"/>
        <item x="950"/>
        <item x="933"/>
        <item x="1013"/>
        <item x="3011"/>
        <item x="1484"/>
        <item x="696"/>
        <item x="593"/>
        <item x="385"/>
        <item x="1460"/>
        <item x="428"/>
        <item x="248"/>
        <item x="449"/>
        <item x="455"/>
        <item x="209"/>
        <item x="1267"/>
        <item x="250"/>
        <item x="418"/>
        <item x="2970"/>
        <item x="444"/>
        <item x="3090"/>
        <item x="711"/>
        <item x="694"/>
        <item x="1762"/>
        <item x="892"/>
        <item x="2619"/>
        <item x="1284"/>
        <item x="2066"/>
        <item x="1482"/>
        <item x="702"/>
        <item x="1475"/>
        <item x="1496"/>
        <item x="1465"/>
        <item x="1288"/>
        <item x="1019"/>
        <item x="1476"/>
        <item x="583"/>
        <item x="577"/>
        <item x="2919"/>
        <item x="2225"/>
        <item x="3096"/>
        <item x="1327"/>
        <item x="2090"/>
        <item x="596"/>
        <item x="1821"/>
        <item x="1842"/>
        <item x="835"/>
        <item x="2013"/>
        <item x="1472"/>
        <item x="1527"/>
        <item x="2987"/>
        <item x="1750"/>
        <item x="833"/>
        <item x="834"/>
        <item x="1000"/>
        <item x="1708"/>
        <item x="576"/>
        <item x="1439"/>
        <item x="1745"/>
        <item x="2003"/>
        <item x="1492"/>
        <item x="1101"/>
        <item x="1426"/>
        <item x="1610"/>
        <item x="1753"/>
        <item x="1820"/>
        <item x="957"/>
        <item x="793"/>
        <item x="573"/>
        <item x="1516"/>
        <item x="3317"/>
        <item x="790"/>
        <item x="1531"/>
        <item x="808"/>
        <item x="1432"/>
        <item x="1523"/>
        <item x="1717"/>
        <item x="439"/>
        <item x="1521"/>
        <item x="1511"/>
        <item x="1805"/>
        <item x="1871"/>
        <item x="807"/>
        <item x="2100"/>
        <item x="1420"/>
        <item x="1459"/>
        <item x="509"/>
        <item x="2254"/>
        <item x="1875"/>
        <item x="1771"/>
        <item x="1680"/>
        <item x="1794"/>
        <item x="2229"/>
        <item x="1681"/>
        <item x="1423"/>
        <item x="1674"/>
        <item x="1652"/>
        <item x="1797"/>
        <item x="1613"/>
        <item x="2005"/>
        <item x="1620"/>
        <item x="2551"/>
        <item x="189"/>
        <item x="3074"/>
        <item x="532"/>
        <item x="1818"/>
        <item x="3300"/>
        <item x="1798"/>
        <item x="3248"/>
        <item x="2378"/>
        <item x="1786"/>
        <item x="1963"/>
        <item x="656"/>
        <item x="316"/>
        <item x="547"/>
        <item x="3236"/>
        <item x="533"/>
        <item x="1764"/>
        <item x="1400"/>
        <item x="1569"/>
        <item x="477"/>
        <item x="1430"/>
        <item x="1646"/>
        <item x="1435"/>
        <item x="946"/>
        <item x="1445"/>
        <item x="2014"/>
        <item x="1354"/>
        <item x="1418"/>
        <item x="2982"/>
        <item x="575"/>
        <item x="3115"/>
        <item x="1332"/>
        <item x="552"/>
        <item x="1399"/>
        <item x="24"/>
        <item x="2253"/>
        <item x="2700"/>
        <item x="2257"/>
        <item x="1468"/>
        <item x="748"/>
        <item x="1259"/>
        <item x="822"/>
        <item x="1261"/>
        <item x="1268"/>
        <item x="2061"/>
        <item x="768"/>
        <item x="1162"/>
        <item x="2869"/>
        <item x="1169"/>
        <item x="1189"/>
        <item x="627"/>
        <item x="692"/>
        <item x="574"/>
        <item x="2482"/>
        <item x="514"/>
        <item x="512"/>
        <item x="672"/>
        <item x="2073"/>
        <item x="2899"/>
        <item x="1372"/>
        <item x="1209"/>
        <item x="2448"/>
        <item x="3205"/>
        <item x="1639"/>
        <item x="1338"/>
        <item x="1987"/>
        <item x="32"/>
        <item x="1380"/>
        <item x="1614"/>
        <item x="1624"/>
        <item x="2151"/>
        <item x="1513"/>
        <item x="2007"/>
        <item x="1320"/>
        <item x="1462"/>
        <item x="1371"/>
        <item x="1957"/>
        <item x="30"/>
        <item x="1934"/>
        <item x="1920"/>
        <item x="2458"/>
        <item x="2526"/>
        <item x="2459"/>
        <item x="1856"/>
        <item x="490"/>
        <item x="622"/>
        <item x="1660"/>
        <item x="1926"/>
        <item x="1900"/>
        <item x="499"/>
        <item x="508"/>
        <item x="2681"/>
        <item x="640"/>
        <item x="436"/>
        <item x="1292"/>
        <item x="406"/>
        <item x="1647"/>
        <item x="716"/>
        <item x="1178"/>
        <item x="1725"/>
        <item x="2020"/>
        <item x="2036"/>
        <item x="718"/>
        <item x="1309"/>
        <item x="1191"/>
        <item x="1301"/>
        <item x="1278"/>
        <item x="712"/>
        <item x="1972"/>
        <item x="103"/>
        <item x="1131"/>
        <item x="1143"/>
        <item x="1153"/>
        <item x="382"/>
        <item x="223"/>
        <item x="720"/>
        <item x="1998"/>
        <item x="851"/>
        <item x="701"/>
        <item x="727"/>
        <item x="1215"/>
        <item x="540"/>
        <item x="678"/>
        <item x="663"/>
        <item x="840"/>
        <item x="746"/>
        <item x="2010"/>
        <item x="1817"/>
        <item x="745"/>
        <item x="838"/>
        <item x="400"/>
        <item x="664"/>
        <item x="1760"/>
        <item x="1752"/>
        <item x="1747"/>
        <item x="1758"/>
        <item x="1342"/>
        <item x="1693"/>
        <item x="1918"/>
        <item x="821"/>
        <item x="35"/>
        <item x="1999"/>
        <item x="1988"/>
        <item x="388"/>
        <item x="1226"/>
        <item x="397"/>
        <item x="1304"/>
        <item x="742"/>
        <item x="740"/>
        <item x="675"/>
        <item x="691"/>
        <item x="743"/>
        <item x="620"/>
        <item x="287"/>
        <item x="524"/>
        <item x="862"/>
        <item x="1463"/>
        <item x="755"/>
        <item x="3039"/>
        <item x="3048"/>
        <item x="1316"/>
        <item x="1357"/>
        <item x="1361"/>
        <item x="1239"/>
        <item x="1402"/>
        <item x="535"/>
        <item x="526"/>
        <item x="687"/>
        <item x="544"/>
        <item x="771"/>
        <item x="542"/>
        <item x="546"/>
        <item x="557"/>
        <item x="886"/>
        <item x="1359"/>
        <item x="795"/>
        <item x="1222"/>
        <item x="1914"/>
        <item x="1337"/>
        <item x="1351"/>
        <item x="1286"/>
        <item x="1269"/>
        <item x="1408"/>
        <item x="1410"/>
        <item x="690"/>
        <item x="559"/>
        <item x="564"/>
        <item x="624"/>
        <item x="1414"/>
        <item x="806"/>
        <item x="629"/>
        <item x="848"/>
        <item x="1440"/>
        <item x="1119"/>
        <item x="2217"/>
        <item x="1343"/>
        <item x="1295"/>
        <item x="856"/>
        <item x="830"/>
        <item x="709"/>
        <item x="2150"/>
        <item x="2153"/>
        <item x="2485"/>
        <item x="2440"/>
        <item x="2475"/>
        <item x="3443"/>
        <item t="default"/>
      </items>
    </pivotField>
  </pivotFields>
  <rowFields count="1">
    <field x="1"/>
  </rowFields>
  <rowItems count="1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 t="grand">
      <x/>
    </i>
  </rowItems>
  <colItems count="1">
    <i/>
  </colItems>
  <dataFields count="1">
    <dataField name="求和项:发生金额" fld="2" baseField="0" baseItem="0"/>
  </dataFields>
  <pivotTableStyleInfo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1540数据透视表" cacheId="1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A1:B43" firstHeaderRow="1" firstDataRow="1" firstDataCol="1"/>
  <pivotFields count="16">
    <pivotField compact="0" showAll="0">
      <items count="6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618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t="default"/>
      </items>
    </pivotField>
    <pivotField axis="axisRow" compact="0" defaultSubtotal="0" multipleItemSelectionAllowed="1" showAll="0">
      <items count="41">
        <item sd="0" x="33"/>
        <item sd="0" x="4"/>
        <item sd="0" x="31"/>
        <item sd="0" x="26"/>
        <item sd="0" x="0"/>
        <item sd="0" x="20"/>
        <item sd="0" x="28"/>
        <item sd="0" x="15"/>
        <item sd="0" x="29"/>
        <item sd="0" x="22"/>
        <item sd="0" x="25"/>
        <item sd="0" x="18"/>
        <item sd="0" x="32"/>
        <item sd="0" x="1"/>
        <item sd="0" x="16"/>
        <item sd="0" x="7"/>
        <item sd="0" x="23"/>
        <item sd="0" x="17"/>
        <item sd="0" x="10"/>
        <item sd="0" x="35"/>
        <item sd="0" x="6"/>
        <item sd="0" x="34"/>
        <item sd="0" x="12"/>
        <item sd="0" x="8"/>
        <item sd="0" x="19"/>
        <item sd="0" x="30"/>
        <item sd="0" x="9"/>
        <item sd="0" x="21"/>
        <item sd="0" x="24"/>
        <item sd="0" x="3"/>
        <item sd="0" x="11"/>
        <item sd="0" x="2"/>
        <item sd="0" x="13"/>
        <item sd="0" x="27"/>
        <item sd="0" x="14"/>
        <item x="5"/>
        <item sd="0" x="36"/>
        <item sd="0" x="37"/>
        <item sd="0" x="38"/>
        <item sd="0" x="39"/>
        <item sd="0" x="40"/>
      </items>
    </pivotField>
    <pivotField compact="0" showAll="0">
      <items count="48">
        <item x="19"/>
        <item x="17"/>
        <item x="15"/>
        <item x="24"/>
        <item x="25"/>
        <item x="4"/>
        <item x="7"/>
        <item x="23"/>
        <item x="9"/>
        <item x="33"/>
        <item x="8"/>
        <item x="10"/>
        <item x="38"/>
        <item x="20"/>
        <item x="1"/>
        <item x="16"/>
        <item x="22"/>
        <item x="26"/>
        <item x="12"/>
        <item x="0"/>
        <item x="2"/>
        <item x="29"/>
        <item x="37"/>
        <item x="34"/>
        <item x="27"/>
        <item x="36"/>
        <item x="21"/>
        <item x="35"/>
        <item x="3"/>
        <item x="28"/>
        <item x="6"/>
        <item x="13"/>
        <item x="39"/>
        <item x="11"/>
        <item x="14"/>
        <item x="32"/>
        <item x="31"/>
        <item x="30"/>
        <item x="18"/>
        <item x="5"/>
        <item x="40"/>
        <item x="41"/>
        <item x="42"/>
        <item x="43"/>
        <item x="44"/>
        <item x="45"/>
        <item x="46"/>
        <item t="default"/>
      </items>
    </pivotField>
    <pivotField compact="0" showAll="0">
      <items count="27">
        <item x="11"/>
        <item x="5"/>
        <item x="6"/>
        <item x="10"/>
        <item x="4"/>
        <item x="9"/>
        <item x="0"/>
        <item x="16"/>
        <item x="15"/>
        <item x="14"/>
        <item x="13"/>
        <item x="8"/>
        <item x="17"/>
        <item x="2"/>
        <item x="1"/>
        <item x="18"/>
        <item x="3"/>
        <item x="7"/>
        <item x="12"/>
        <item x="19"/>
        <item x="20"/>
        <item x="21"/>
        <item x="22"/>
        <item x="23"/>
        <item x="25"/>
        <item x="24"/>
        <item t="default"/>
      </items>
    </pivotField>
    <pivotField compact="0" showAll="0">
      <items count="609">
        <item x="5"/>
        <item x="120"/>
        <item x="121"/>
        <item x="107"/>
        <item x="56"/>
        <item x="156"/>
        <item x="116"/>
        <item x="106"/>
        <item x="150"/>
        <item x="177"/>
        <item x="179"/>
        <item x="178"/>
        <item x="167"/>
        <item x="19"/>
        <item x="43"/>
        <item x="1"/>
        <item x="14"/>
        <item x="435"/>
        <item x="205"/>
        <item x="319"/>
        <item x="206"/>
        <item x="364"/>
        <item x="381"/>
        <item x="384"/>
        <item x="339"/>
        <item x="338"/>
        <item x="362"/>
        <item x="310"/>
        <item x="282"/>
        <item x="357"/>
        <item x="343"/>
        <item x="345"/>
        <item x="350"/>
        <item x="509"/>
        <item x="344"/>
        <item x="347"/>
        <item x="510"/>
        <item x="351"/>
        <item x="507"/>
        <item x="450"/>
        <item x="322"/>
        <item x="330"/>
        <item x="374"/>
        <item x="498"/>
        <item x="332"/>
        <item x="283"/>
        <item x="451"/>
        <item x="502"/>
        <item x="371"/>
        <item x="301"/>
        <item x="380"/>
        <item x="511"/>
        <item x="513"/>
        <item x="303"/>
        <item x="440"/>
        <item x="508"/>
        <item x="379"/>
        <item x="320"/>
        <item x="512"/>
        <item x="337"/>
        <item x="316"/>
        <item x="317"/>
        <item x="318"/>
        <item x="346"/>
        <item x="447"/>
        <item x="328"/>
        <item x="329"/>
        <item x="492"/>
        <item x="331"/>
        <item x="441"/>
        <item x="491"/>
        <item x="348"/>
        <item x="473"/>
        <item x="475"/>
        <item x="462"/>
        <item x="425"/>
        <item x="487"/>
        <item x="474"/>
        <item x="243"/>
        <item x="237"/>
        <item x="261"/>
        <item x="423"/>
        <item x="460"/>
        <item x="501"/>
        <item x="278"/>
        <item x="258"/>
        <item x="497"/>
        <item x="424"/>
        <item x="274"/>
        <item x="467"/>
        <item x="279"/>
        <item x="422"/>
        <item x="446"/>
        <item x="275"/>
        <item x="448"/>
        <item x="268"/>
        <item x="276"/>
        <item x="358"/>
        <item x="455"/>
        <item x="458"/>
        <item x="277"/>
        <item x="456"/>
        <item x="413"/>
        <item x="453"/>
        <item x="444"/>
        <item x="494"/>
        <item x="406"/>
        <item x="229"/>
        <item x="341"/>
        <item x="31"/>
        <item x="442"/>
        <item x="482"/>
        <item x="335"/>
        <item x="30"/>
        <item x="29"/>
        <item x="28"/>
        <item x="22"/>
        <item x="37"/>
        <item x="454"/>
        <item x="36"/>
        <item x="20"/>
        <item x="26"/>
        <item x="25"/>
        <item x="23"/>
        <item x="18"/>
        <item x="17"/>
        <item x="16"/>
        <item x="207"/>
        <item x="13"/>
        <item x="15"/>
        <item x="281"/>
        <item x="11"/>
        <item x="71"/>
        <item x="88"/>
        <item x="81"/>
        <item x="496"/>
        <item x="66"/>
        <item x="304"/>
        <item x="312"/>
        <item x="89"/>
        <item x="287"/>
        <item x="293"/>
        <item x="58"/>
        <item x="69"/>
        <item x="211"/>
        <item x="240"/>
        <item x="238"/>
        <item x="295"/>
        <item x="254"/>
        <item x="308"/>
        <item x="239"/>
        <item x="306"/>
        <item x="242"/>
        <item x="68"/>
        <item x="251"/>
        <item x="327"/>
        <item x="326"/>
        <item x="296"/>
        <item x="430"/>
        <item x="67"/>
        <item x="302"/>
        <item x="307"/>
        <item x="305"/>
        <item x="309"/>
        <item x="360"/>
        <item x="429"/>
        <item x="363"/>
        <item x="323"/>
        <item x="289"/>
        <item x="313"/>
        <item x="273"/>
        <item x="34"/>
        <item x="0"/>
        <item x="98"/>
        <item x="375"/>
        <item x="314"/>
        <item x="431"/>
        <item x="439"/>
        <item x="400"/>
        <item x="149"/>
        <item x="438"/>
        <item x="27"/>
        <item x="324"/>
        <item x="449"/>
        <item x="53"/>
        <item x="21"/>
        <item x="387"/>
        <item x="382"/>
        <item x="410"/>
        <item x="194"/>
        <item x="24"/>
        <item x="257"/>
        <item x="383"/>
        <item x="263"/>
        <item x="196"/>
        <item x="411"/>
        <item x="141"/>
        <item x="65"/>
        <item x="355"/>
        <item x="417"/>
        <item x="416"/>
        <item x="418"/>
        <item x="356"/>
        <item x="259"/>
        <item x="369"/>
        <item x="401"/>
        <item x="52"/>
        <item x="142"/>
        <item x="466"/>
        <item x="399"/>
        <item x="361"/>
        <item x="415"/>
        <item x="402"/>
        <item x="366"/>
        <item x="256"/>
        <item x="368"/>
        <item x="135"/>
        <item x="255"/>
        <item x="367"/>
        <item x="247"/>
        <item x="253"/>
        <item x="248"/>
        <item x="407"/>
        <item x="392"/>
        <item x="409"/>
        <item x="157"/>
        <item x="391"/>
        <item x="390"/>
        <item x="164"/>
        <item x="408"/>
        <item x="137"/>
        <item x="138"/>
        <item x="398"/>
        <item x="57"/>
        <item x="62"/>
        <item x="393"/>
        <item x="61"/>
        <item x="50"/>
        <item x="349"/>
        <item x="395"/>
        <item x="3"/>
        <item x="94"/>
        <item x="352"/>
        <item x="63"/>
        <item x="133"/>
        <item x="51"/>
        <item x="101"/>
        <item x="35"/>
        <item x="412"/>
        <item x="354"/>
        <item x="64"/>
        <item x="353"/>
        <item x="70"/>
        <item x="102"/>
        <item x="103"/>
        <item x="128"/>
        <item x="108"/>
        <item x="7"/>
        <item x="130"/>
        <item x="114"/>
        <item x="109"/>
        <item x="404"/>
        <item x="4"/>
        <item x="110"/>
        <item x="105"/>
        <item x="113"/>
        <item x="119"/>
        <item x="112"/>
        <item x="111"/>
        <item x="209"/>
        <item x="115"/>
        <item x="426"/>
        <item x="118"/>
        <item x="208"/>
        <item x="117"/>
        <item x="212"/>
        <item x="210"/>
        <item x="2"/>
        <item x="220"/>
        <item x="427"/>
        <item x="506"/>
        <item x="39"/>
        <item x="38"/>
        <item x="33"/>
        <item x="41"/>
        <item x="32"/>
        <item x="221"/>
        <item x="216"/>
        <item x="477"/>
        <item x="479"/>
        <item x="428"/>
        <item x="476"/>
        <item x="215"/>
        <item x="468"/>
        <item x="437"/>
        <item x="484"/>
        <item x="499"/>
        <item x="280"/>
        <item x="500"/>
        <item x="503"/>
        <item x="284"/>
        <item x="6"/>
        <item x="478"/>
        <item x="480"/>
        <item x="504"/>
        <item x="432"/>
        <item x="481"/>
        <item x="469"/>
        <item x="434"/>
        <item x="443"/>
        <item x="472"/>
        <item x="464"/>
        <item x="485"/>
        <item x="505"/>
        <item x="445"/>
        <item x="461"/>
        <item x="486"/>
        <item x="459"/>
        <item x="49"/>
        <item x="490"/>
        <item x="463"/>
        <item x="152"/>
        <item x="433"/>
        <item x="489"/>
        <item x="48"/>
        <item x="47"/>
        <item x="465"/>
        <item x="45"/>
        <item x="134"/>
        <item x="46"/>
        <item x="436"/>
        <item x="493"/>
        <item x="495"/>
        <item x="457"/>
        <item x="470"/>
        <item x="204"/>
        <item x="471"/>
        <item x="217"/>
        <item x="203"/>
        <item x="419"/>
        <item x="151"/>
        <item x="218"/>
        <item x="271"/>
        <item x="269"/>
        <item x="266"/>
        <item x="420"/>
        <item x="421"/>
        <item x="270"/>
        <item x="241"/>
        <item x="396"/>
        <item x="321"/>
        <item x="8"/>
        <item x="394"/>
        <item x="219"/>
        <item x="297"/>
        <item x="180"/>
        <item x="213"/>
        <item x="397"/>
        <item x="79"/>
        <item x="267"/>
        <item x="244"/>
        <item x="78"/>
        <item x="294"/>
        <item x="9"/>
        <item x="386"/>
        <item x="214"/>
        <item x="264"/>
        <item x="82"/>
        <item x="12"/>
        <item x="385"/>
        <item x="403"/>
        <item x="165"/>
        <item x="74"/>
        <item x="288"/>
        <item x="147"/>
        <item x="153"/>
        <item x="154"/>
        <item x="414"/>
        <item x="76"/>
        <item x="292"/>
        <item x="272"/>
        <item x="75"/>
        <item x="202"/>
        <item x="10"/>
        <item x="285"/>
        <item x="260"/>
        <item x="359"/>
        <item x="181"/>
        <item x="176"/>
        <item x="146"/>
        <item x="298"/>
        <item x="300"/>
        <item x="299"/>
        <item x="144"/>
        <item x="174"/>
        <item x="73"/>
        <item x="166"/>
        <item x="245"/>
        <item x="182"/>
        <item x="291"/>
        <item x="262"/>
        <item x="290"/>
        <item x="140"/>
        <item x="168"/>
        <item x="249"/>
        <item x="286"/>
        <item x="148"/>
        <item x="170"/>
        <item x="145"/>
        <item x="136"/>
        <item x="173"/>
        <item x="132"/>
        <item x="169"/>
        <item x="405"/>
        <item x="222"/>
        <item x="171"/>
        <item x="175"/>
        <item x="161"/>
        <item x="143"/>
        <item x="452"/>
        <item x="172"/>
        <item x="224"/>
        <item x="315"/>
        <item x="333"/>
        <item x="388"/>
        <item x="129"/>
        <item x="228"/>
        <item x="163"/>
        <item x="131"/>
        <item x="55"/>
        <item x="162"/>
        <item x="334"/>
        <item x="54"/>
        <item x="235"/>
        <item x="127"/>
        <item x="230"/>
        <item x="225"/>
        <item x="223"/>
        <item x="389"/>
        <item x="336"/>
        <item x="158"/>
        <item x="139"/>
        <item x="183"/>
        <item x="124"/>
        <item x="85"/>
        <item x="236"/>
        <item x="155"/>
        <item x="201"/>
        <item x="190"/>
        <item x="184"/>
        <item x="84"/>
        <item x="185"/>
        <item x="226"/>
        <item x="187"/>
        <item x="159"/>
        <item x="123"/>
        <item x="200"/>
        <item x="189"/>
        <item x="232"/>
        <item x="186"/>
        <item x="126"/>
        <item x="227"/>
        <item x="188"/>
        <item x="125"/>
        <item x="311"/>
        <item x="265"/>
        <item x="191"/>
        <item x="122"/>
        <item x="86"/>
        <item x="197"/>
        <item x="192"/>
        <item x="231"/>
        <item x="198"/>
        <item x="365"/>
        <item x="160"/>
        <item x="378"/>
        <item x="376"/>
        <item x="195"/>
        <item x="193"/>
        <item x="377"/>
        <item x="199"/>
        <item x="95"/>
        <item x="373"/>
        <item x="234"/>
        <item x="252"/>
        <item x="372"/>
        <item x="250"/>
        <item x="246"/>
        <item x="233"/>
        <item x="90"/>
        <item x="370"/>
        <item x="59"/>
        <item x="104"/>
        <item x="60"/>
        <item x="80"/>
        <item x="83"/>
        <item x="77"/>
        <item x="87"/>
        <item x="91"/>
        <item x="72"/>
        <item x="92"/>
        <item x="93"/>
        <item x="99"/>
        <item x="96"/>
        <item x="97"/>
        <item x="100"/>
        <item x="42"/>
        <item x="44"/>
        <item x="340"/>
        <item x="40"/>
        <item x="488"/>
        <item x="483"/>
        <item x="342"/>
        <item x="325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607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t="default"/>
      </items>
    </pivotField>
    <pivotField compact="0" showAll="0">
      <items count="72">
        <item x="6"/>
        <item x="56"/>
        <item x="13"/>
        <item x="14"/>
        <item x="16"/>
        <item x="10"/>
        <item x="19"/>
        <item x="5"/>
        <item x="9"/>
        <item x="21"/>
        <item x="3"/>
        <item x="12"/>
        <item x="7"/>
        <item x="27"/>
        <item x="45"/>
        <item x="26"/>
        <item x="20"/>
        <item x="0"/>
        <item x="54"/>
        <item x="36"/>
        <item x="4"/>
        <item x="2"/>
        <item x="30"/>
        <item x="59"/>
        <item x="38"/>
        <item x="55"/>
        <item x="31"/>
        <item x="57"/>
        <item x="48"/>
        <item x="46"/>
        <item x="60"/>
        <item x="8"/>
        <item x="42"/>
        <item x="41"/>
        <item x="11"/>
        <item x="32"/>
        <item x="18"/>
        <item x="43"/>
        <item x="39"/>
        <item x="40"/>
        <item x="58"/>
        <item x="33"/>
        <item x="24"/>
        <item x="49"/>
        <item x="47"/>
        <item x="22"/>
        <item x="44"/>
        <item x="53"/>
        <item x="23"/>
        <item x="51"/>
        <item x="37"/>
        <item x="1"/>
        <item x="15"/>
        <item x="50"/>
        <item x="52"/>
        <item x="29"/>
        <item x="28"/>
        <item x="35"/>
        <item x="17"/>
        <item x="34"/>
        <item x="25"/>
        <item x="61"/>
        <item x="62"/>
        <item x="70"/>
        <item x="63"/>
        <item x="64"/>
        <item x="65"/>
        <item x="66"/>
        <item x="67"/>
        <item x="68"/>
        <item x="69"/>
        <item t="default"/>
      </items>
    </pivotField>
    <pivotField compact="0" showAll="0">
      <items count="669">
        <item x="6"/>
        <item x="47"/>
        <item x="360"/>
        <item x="528"/>
        <item x="495"/>
        <item x="461"/>
        <item x="496"/>
        <item x="314"/>
        <item x="374"/>
        <item x="465"/>
        <item x="21"/>
        <item x="494"/>
        <item x="379"/>
        <item x="499"/>
        <item x="122"/>
        <item x="15"/>
        <item x="386"/>
        <item x="467"/>
        <item x="107"/>
        <item x="106"/>
        <item x="324"/>
        <item x="466"/>
        <item x="105"/>
        <item x="372"/>
        <item x="246"/>
        <item x="287"/>
        <item x="283"/>
        <item x="288"/>
        <item x="284"/>
        <item x="285"/>
        <item x="286"/>
        <item x="502"/>
        <item x="403"/>
        <item x="32"/>
        <item x="31"/>
        <item x="330"/>
        <item x="8"/>
        <item x="27"/>
        <item x="5"/>
        <item x="19"/>
        <item x="18"/>
        <item x="482"/>
        <item x="14"/>
        <item x="17"/>
        <item x="215"/>
        <item x="291"/>
        <item x="74"/>
        <item x="483"/>
        <item x="69"/>
        <item x="532"/>
        <item x="72"/>
        <item x="216"/>
        <item x="319"/>
        <item x="71"/>
        <item x="292"/>
        <item x="536"/>
        <item x="70"/>
        <item x="318"/>
        <item x="535"/>
        <item x="328"/>
        <item x="40"/>
        <item x="101"/>
        <item x="43"/>
        <item x="516"/>
        <item x="519"/>
        <item x="514"/>
        <item x="329"/>
        <item x="464"/>
        <item x="524"/>
        <item x="29"/>
        <item x="289"/>
        <item x="539"/>
        <item x="293"/>
        <item x="538"/>
        <item x="56"/>
        <item x="517"/>
        <item x="23"/>
        <item x="459"/>
        <item x="204"/>
        <item x="26"/>
        <item x="462"/>
        <item x="501"/>
        <item x="266"/>
        <item x="510"/>
        <item x="498"/>
        <item x="547"/>
        <item x="272"/>
        <item x="206"/>
        <item x="552"/>
        <item x="492"/>
        <item x="490"/>
        <item x="52"/>
        <item x="149"/>
        <item x="112"/>
        <item x="497"/>
        <item x="160"/>
        <item x="68"/>
        <item x="460"/>
        <item x="80"/>
        <item x="51"/>
        <item x="111"/>
        <item x="90"/>
        <item x="500"/>
        <item x="55"/>
        <item x="150"/>
        <item x="3"/>
        <item x="488"/>
        <item x="507"/>
        <item x="143"/>
        <item x="509"/>
        <item x="37"/>
        <item x="256"/>
        <item x="159"/>
        <item x="243"/>
        <item x="242"/>
        <item x="417"/>
        <item x="338"/>
        <item x="413"/>
        <item x="191"/>
        <item x="418"/>
        <item x="82"/>
        <item x="81"/>
        <item x="305"/>
        <item x="414"/>
        <item x="404"/>
        <item x="85"/>
        <item x="402"/>
        <item x="423"/>
        <item x="173"/>
        <item x="77"/>
        <item x="297"/>
        <item x="161"/>
        <item x="162"/>
        <item x="79"/>
        <item x="303"/>
        <item x="281"/>
        <item x="78"/>
        <item x="174"/>
        <item x="294"/>
        <item x="376"/>
        <item x="335"/>
        <item x="298"/>
        <item x="153"/>
        <item x="151"/>
        <item x="254"/>
        <item x="336"/>
        <item x="302"/>
        <item x="337"/>
        <item x="145"/>
        <item x="252"/>
        <item x="301"/>
        <item x="148"/>
        <item x="299"/>
        <item x="295"/>
        <item x="152"/>
        <item x="357"/>
        <item x="42"/>
        <item x="359"/>
        <item x="258"/>
        <item x="169"/>
        <item x="146"/>
        <item x="457"/>
        <item x="232"/>
        <item x="331"/>
        <item x="406"/>
        <item x="555"/>
        <item x="236"/>
        <item x="58"/>
        <item x="57"/>
        <item x="244"/>
        <item x="238"/>
        <item x="233"/>
        <item x="231"/>
        <item x="419"/>
        <item x="407"/>
        <item x="60"/>
        <item x="194"/>
        <item x="88"/>
        <item x="245"/>
        <item x="163"/>
        <item x="200"/>
        <item x="195"/>
        <item x="87"/>
        <item x="65"/>
        <item x="86"/>
        <item x="196"/>
        <item x="397"/>
        <item x="234"/>
        <item x="240"/>
        <item x="64"/>
        <item x="53"/>
        <item x="36"/>
        <item x="241"/>
        <item x="0"/>
        <item x="197"/>
        <item x="133"/>
        <item x="416"/>
        <item x="235"/>
        <item x="199"/>
        <item x="132"/>
        <item x="392"/>
        <item x="396"/>
        <item x="89"/>
        <item x="239"/>
        <item x="66"/>
        <item x="381"/>
        <item x="391"/>
        <item x="168"/>
        <item x="553"/>
        <item x="395"/>
        <item x="140"/>
        <item x="54"/>
        <item x="393"/>
        <item x="361"/>
        <item x="369"/>
        <item x="203"/>
        <item x="67"/>
        <item x="493"/>
        <item x="367"/>
        <item x="394"/>
        <item x="388"/>
        <item x="73"/>
        <item x="390"/>
        <item x="362"/>
        <item x="262"/>
        <item x="364"/>
        <item x="389"/>
        <item x="260"/>
        <item x="237"/>
        <item x="255"/>
        <item x="93"/>
        <item x="135"/>
        <item x="387"/>
        <item x="511"/>
        <item x="513"/>
        <item x="339"/>
        <item x="508"/>
        <item x="412"/>
        <item x="347"/>
        <item x="515"/>
        <item x="30"/>
        <item x="121"/>
        <item x="541"/>
        <item x="349"/>
        <item x="512"/>
        <item x="137"/>
        <item x="24"/>
        <item x="556"/>
        <item x="39"/>
        <item x="38"/>
        <item x="313"/>
        <item x="20"/>
        <item x="554"/>
        <item x="217"/>
        <item x="290"/>
        <item x="551"/>
        <item x="504"/>
        <item x="323"/>
        <item x="12"/>
        <item x="491"/>
        <item x="91"/>
        <item x="316"/>
        <item x="219"/>
        <item x="317"/>
        <item x="35"/>
        <item x="452"/>
        <item x="327"/>
        <item x="218"/>
        <item x="326"/>
        <item x="310"/>
        <item x="61"/>
        <item x="540"/>
        <item x="83"/>
        <item x="249"/>
        <item x="247"/>
        <item x="480"/>
        <item x="264"/>
        <item x="332"/>
        <item x="321"/>
        <item x="248"/>
        <item x="333"/>
        <item x="334"/>
        <item x="251"/>
        <item x="261"/>
        <item x="530"/>
        <item x="343"/>
        <item x="221"/>
        <item x="220"/>
        <item x="94"/>
        <item x="315"/>
        <item x="320"/>
        <item x="518"/>
        <item x="95"/>
        <item x="322"/>
        <item x="533"/>
        <item x="475"/>
        <item x="228"/>
        <item x="453"/>
        <item x="451"/>
        <item x="41"/>
        <item x="282"/>
        <item x="472"/>
        <item x="33"/>
        <item x="229"/>
        <item x="225"/>
        <item x="454"/>
        <item x="473"/>
        <item x="224"/>
        <item x="505"/>
        <item x="156"/>
        <item x="542"/>
        <item x="444"/>
        <item x="485"/>
        <item x="543"/>
        <item x="341"/>
        <item x="267"/>
        <item x="481"/>
        <item x="456"/>
        <item x="455"/>
        <item x="545"/>
        <item x="448"/>
        <item x="7"/>
        <item x="446"/>
        <item x="520"/>
        <item x="546"/>
        <item x="521"/>
        <item x="348"/>
        <item x="506"/>
        <item x="474"/>
        <item x="103"/>
        <item x="443"/>
        <item x="476"/>
        <item x="277"/>
        <item x="531"/>
        <item x="486"/>
        <item x="489"/>
        <item x="529"/>
        <item x="463"/>
        <item x="487"/>
        <item x="48"/>
        <item x="142"/>
        <item x="49"/>
        <item x="484"/>
        <item x="268"/>
        <item x="534"/>
        <item x="426"/>
        <item x="537"/>
        <item x="265"/>
        <item x="214"/>
        <item x="226"/>
        <item x="213"/>
        <item x="263"/>
        <item x="440"/>
        <item x="356"/>
        <item x="34"/>
        <item x="227"/>
        <item x="257"/>
        <item x="355"/>
        <item x="109"/>
        <item x="280"/>
        <item x="278"/>
        <item x="352"/>
        <item x="275"/>
        <item x="28"/>
        <item x="441"/>
        <item x="25"/>
        <item x="165"/>
        <item x="442"/>
        <item x="279"/>
        <item x="250"/>
        <item x="458"/>
        <item x="16"/>
        <item x="308"/>
        <item x="222"/>
        <item x="172"/>
        <item x="276"/>
        <item x="445"/>
        <item x="253"/>
        <item x="10"/>
        <item x="273"/>
        <item x="13"/>
        <item x="550"/>
        <item x="141"/>
        <item x="433"/>
        <item x="212"/>
        <item x="11"/>
        <item x="270"/>
        <item x="447"/>
        <item x="187"/>
        <item x="309"/>
        <item x="312"/>
        <item x="296"/>
        <item x="311"/>
        <item x="304"/>
        <item x="378"/>
        <item x="76"/>
        <item x="175"/>
        <item x="271"/>
        <item x="306"/>
        <item x="259"/>
        <item x="179"/>
        <item x="44"/>
        <item x="144"/>
        <item x="182"/>
        <item x="139"/>
        <item x="178"/>
        <item x="425"/>
        <item x="230"/>
        <item x="181"/>
        <item x="350"/>
        <item x="307"/>
        <item x="136"/>
        <item x="138"/>
        <item x="134"/>
        <item x="45"/>
        <item x="470"/>
        <item x="353"/>
        <item x="147"/>
        <item x="437"/>
        <item x="1"/>
        <item x="439"/>
        <item x="450"/>
        <item x="385"/>
        <item x="422"/>
        <item x="300"/>
        <item x="131"/>
        <item x="210"/>
        <item x="420"/>
        <item x="366"/>
        <item x="62"/>
        <item x="377"/>
        <item x="325"/>
        <item x="274"/>
        <item x="434"/>
        <item x="201"/>
        <item x="128"/>
        <item x="382"/>
        <item x="207"/>
        <item x="202"/>
        <item x="368"/>
        <item x="384"/>
        <item x="415"/>
        <item x="104"/>
        <item x="63"/>
        <item x="383"/>
        <item x="205"/>
        <item x="432"/>
        <item x="421"/>
        <item x="363"/>
        <item x="98"/>
        <item x="478"/>
        <item x="427"/>
        <item x="410"/>
        <item x="429"/>
        <item x="471"/>
        <item x="409"/>
        <item x="365"/>
        <item x="405"/>
        <item x="408"/>
        <item x="399"/>
        <item x="430"/>
        <item x="400"/>
        <item x="113"/>
        <item x="548"/>
        <item x="436"/>
        <item x="431"/>
        <item x="503"/>
        <item x="428"/>
        <item x="158"/>
        <item x="164"/>
        <item x="119"/>
        <item x="22"/>
        <item x="114"/>
        <item x="424"/>
        <item x="75"/>
        <item x="370"/>
        <item x="269"/>
        <item x="438"/>
        <item x="130"/>
        <item x="371"/>
        <item x="120"/>
        <item x="4"/>
        <item x="477"/>
        <item x="479"/>
        <item x="375"/>
        <item x="344"/>
        <item x="345"/>
        <item x="346"/>
        <item x="2"/>
        <item x="96"/>
        <item x="157"/>
        <item x="129"/>
        <item x="102"/>
        <item x="99"/>
        <item x="100"/>
        <item x="522"/>
        <item x="46"/>
        <item x="398"/>
        <item x="401"/>
        <item x="380"/>
        <item x="351"/>
        <item x="373"/>
        <item x="544"/>
        <item x="525"/>
        <item x="526"/>
        <item x="84"/>
        <item x="92"/>
        <item x="97"/>
        <item x="192"/>
        <item x="184"/>
        <item x="185"/>
        <item x="180"/>
        <item x="186"/>
        <item x="340"/>
        <item x="170"/>
        <item x="166"/>
        <item x="211"/>
        <item x="190"/>
        <item x="449"/>
        <item x="435"/>
        <item x="189"/>
        <item x="167"/>
        <item x="354"/>
        <item x="411"/>
        <item x="209"/>
        <item x="50"/>
        <item x="171"/>
        <item x="9"/>
        <item x="108"/>
        <item x="223"/>
        <item x="59"/>
        <item x="193"/>
        <item x="342"/>
        <item x="115"/>
        <item x="110"/>
        <item x="176"/>
        <item x="118"/>
        <item x="198"/>
        <item x="117"/>
        <item x="116"/>
        <item x="124"/>
        <item x="123"/>
        <item x="358"/>
        <item x="549"/>
        <item x="188"/>
        <item x="177"/>
        <item x="125"/>
        <item x="126"/>
        <item x="127"/>
        <item x="154"/>
        <item x="208"/>
        <item x="155"/>
        <item x="469"/>
        <item x="183"/>
        <item x="468"/>
        <item x="523"/>
        <item x="527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66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t="default"/>
      </items>
    </pivotField>
    <pivotField compact="0" showAll="0">
      <items count="340">
        <item x="0"/>
        <item x="2"/>
        <item x="267"/>
        <item x="235"/>
        <item x="104"/>
        <item x="41"/>
        <item x="60"/>
        <item x="45"/>
        <item x="44"/>
        <item x="28"/>
        <item x="303"/>
        <item x="155"/>
        <item x="61"/>
        <item x="46"/>
        <item x="154"/>
        <item x="301"/>
        <item x="163"/>
        <item x="210"/>
        <item x="158"/>
        <item x="47"/>
        <item x="176"/>
        <item x="174"/>
        <item x="207"/>
        <item x="277"/>
        <item x="257"/>
        <item x="118"/>
        <item x="175"/>
        <item x="64"/>
        <item x="194"/>
        <item x="156"/>
        <item x="124"/>
        <item x="173"/>
        <item x="161"/>
        <item x="170"/>
        <item x="86"/>
        <item x="103"/>
        <item x="153"/>
        <item x="168"/>
        <item x="30"/>
        <item x="29"/>
        <item x="180"/>
        <item x="185"/>
        <item x="224"/>
        <item x="169"/>
        <item x="162"/>
        <item x="302"/>
        <item x="105"/>
        <item x="102"/>
        <item x="129"/>
        <item x="159"/>
        <item x="282"/>
        <item x="132"/>
        <item x="62"/>
        <item x="187"/>
        <item x="101"/>
        <item x="25"/>
        <item x="208"/>
        <item x="106"/>
        <item x="24"/>
        <item x="256"/>
        <item x="265"/>
        <item x="22"/>
        <item x="295"/>
        <item x="57"/>
        <item x="152"/>
        <item x="276"/>
        <item x="215"/>
        <item x="19"/>
        <item x="1"/>
        <item x="195"/>
        <item x="244"/>
        <item x="12"/>
        <item x="290"/>
        <item x="146"/>
        <item x="216"/>
        <item x="11"/>
        <item x="8"/>
        <item x="10"/>
        <item x="65"/>
        <item x="240"/>
        <item x="66"/>
        <item x="249"/>
        <item x="242"/>
        <item x="292"/>
        <item x="213"/>
        <item x="49"/>
        <item x="237"/>
        <item x="31"/>
        <item x="288"/>
        <item x="214"/>
        <item x="52"/>
        <item x="271"/>
        <item x="26"/>
        <item x="232"/>
        <item x="272"/>
        <item x="253"/>
        <item x="248"/>
        <item x="51"/>
        <item x="114"/>
        <item x="117"/>
        <item x="296"/>
        <item x="50"/>
        <item x="259"/>
        <item x="278"/>
        <item x="297"/>
        <item x="299"/>
        <item x="298"/>
        <item x="263"/>
        <item x="217"/>
        <item x="167"/>
        <item x="255"/>
        <item x="261"/>
        <item x="283"/>
        <item x="284"/>
        <item x="196"/>
        <item x="218"/>
        <item x="73"/>
        <item x="258"/>
        <item x="273"/>
        <item x="291"/>
        <item x="279"/>
        <item x="281"/>
        <item x="289"/>
        <item x="21"/>
        <item x="280"/>
        <item x="220"/>
        <item x="250"/>
        <item x="202"/>
        <item x="203"/>
        <item x="38"/>
        <item x="204"/>
        <item x="15"/>
        <item x="293"/>
        <item x="147"/>
        <item x="18"/>
        <item x="294"/>
        <item x="108"/>
        <item x="116"/>
        <item x="48"/>
        <item x="76"/>
        <item x="285"/>
        <item x="20"/>
        <item x="266"/>
        <item x="37"/>
        <item x="260"/>
        <item x="233"/>
        <item x="225"/>
        <item x="55"/>
        <item x="251"/>
        <item x="262"/>
        <item x="56"/>
        <item x="115"/>
        <item x="269"/>
        <item x="254"/>
        <item x="125"/>
        <item x="181"/>
        <item x="243"/>
        <item x="184"/>
        <item x="177"/>
        <item x="239"/>
        <item x="179"/>
        <item x="221"/>
        <item x="241"/>
        <item x="110"/>
        <item x="42"/>
        <item x="109"/>
        <item x="252"/>
        <item x="183"/>
        <item x="107"/>
        <item x="74"/>
        <item x="121"/>
        <item x="69"/>
        <item x="274"/>
        <item x="246"/>
        <item x="40"/>
        <item x="39"/>
        <item x="247"/>
        <item x="270"/>
        <item x="236"/>
        <item x="59"/>
        <item x="234"/>
        <item x="231"/>
        <item x="35"/>
        <item x="300"/>
        <item x="97"/>
        <item x="96"/>
        <item x="142"/>
        <item x="79"/>
        <item x="36"/>
        <item x="245"/>
        <item x="229"/>
        <item x="54"/>
        <item x="53"/>
        <item x="131"/>
        <item x="137"/>
        <item x="99"/>
        <item x="119"/>
        <item x="85"/>
        <item x="23"/>
        <item x="141"/>
        <item x="264"/>
        <item x="140"/>
        <item x="16"/>
        <item x="275"/>
        <item x="191"/>
        <item x="120"/>
        <item x="13"/>
        <item x="238"/>
        <item x="6"/>
        <item x="67"/>
        <item x="193"/>
        <item x="72"/>
        <item x="70"/>
        <item x="71"/>
        <item x="197"/>
        <item x="201"/>
        <item x="198"/>
        <item x="199"/>
        <item x="192"/>
        <item x="230"/>
        <item x="178"/>
        <item x="286"/>
        <item x="287"/>
        <item x="123"/>
        <item x="63"/>
        <item x="113"/>
        <item x="165"/>
        <item x="32"/>
        <item x="33"/>
        <item x="166"/>
        <item x="200"/>
        <item x="164"/>
        <item x="127"/>
        <item x="223"/>
        <item x="144"/>
        <item x="27"/>
        <item x="172"/>
        <item x="17"/>
        <item x="189"/>
        <item x="160"/>
        <item x="9"/>
        <item x="188"/>
        <item x="211"/>
        <item x="4"/>
        <item x="7"/>
        <item x="5"/>
        <item x="138"/>
        <item x="190"/>
        <item x="212"/>
        <item x="126"/>
        <item x="186"/>
        <item x="130"/>
        <item x="133"/>
        <item x="205"/>
        <item x="100"/>
        <item x="98"/>
        <item x="228"/>
        <item x="182"/>
        <item x="95"/>
        <item x="222"/>
        <item x="171"/>
        <item x="145"/>
        <item x="92"/>
        <item x="226"/>
        <item x="149"/>
        <item x="227"/>
        <item x="43"/>
        <item x="148"/>
        <item x="34"/>
        <item x="78"/>
        <item x="139"/>
        <item x="84"/>
        <item x="14"/>
        <item x="94"/>
        <item x="111"/>
        <item x="150"/>
        <item x="77"/>
        <item x="93"/>
        <item x="83"/>
        <item x="81"/>
        <item x="268"/>
        <item x="88"/>
        <item x="87"/>
        <item x="206"/>
        <item x="219"/>
        <item x="58"/>
        <item x="68"/>
        <item x="135"/>
        <item x="134"/>
        <item x="136"/>
        <item x="122"/>
        <item x="89"/>
        <item x="90"/>
        <item x="91"/>
        <item x="209"/>
        <item x="151"/>
        <item x="3"/>
        <item x="75"/>
        <item x="157"/>
        <item x="143"/>
        <item x="80"/>
        <item x="82"/>
        <item x="128"/>
        <item x="112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38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t="default"/>
      </items>
    </pivotField>
    <pivotField compact="0" showAll="0">
      <items count="388">
        <item x="0"/>
        <item x="207"/>
        <item x="305"/>
        <item x="301"/>
        <item x="303"/>
        <item x="115"/>
        <item x="320"/>
        <item x="300"/>
        <item x="185"/>
        <item x="184"/>
        <item x="177"/>
        <item x="178"/>
        <item x="176"/>
        <item x="224"/>
        <item x="110"/>
        <item x="240"/>
        <item x="322"/>
        <item x="235"/>
        <item x="233"/>
        <item x="253"/>
        <item x="181"/>
        <item x="45"/>
        <item x="113"/>
        <item x="136"/>
        <item x="133"/>
        <item x="264"/>
        <item x="50"/>
        <item x="131"/>
        <item x="198"/>
        <item x="193"/>
        <item x="49"/>
        <item x="117"/>
        <item x="28"/>
        <item x="194"/>
        <item x="140"/>
        <item x="63"/>
        <item x="65"/>
        <item x="66"/>
        <item x="276"/>
        <item x="190"/>
        <item x="278"/>
        <item x="29"/>
        <item x="116"/>
        <item x="51"/>
        <item x="114"/>
        <item x="121"/>
        <item x="162"/>
        <item x="161"/>
        <item x="37"/>
        <item x="64"/>
        <item x="38"/>
        <item x="52"/>
        <item x="187"/>
        <item x="2"/>
        <item x="182"/>
        <item x="214"/>
        <item x="208"/>
        <item x="32"/>
        <item x="188"/>
        <item x="189"/>
        <item x="196"/>
        <item x="271"/>
        <item x="112"/>
        <item x="145"/>
        <item x="59"/>
        <item x="70"/>
        <item x="167"/>
        <item x="148"/>
        <item x="212"/>
        <item x="229"/>
        <item x="226"/>
        <item x="179"/>
        <item x="111"/>
        <item x="206"/>
        <item x="195"/>
        <item x="211"/>
        <item x="191"/>
        <item x="257"/>
        <item x="118"/>
        <item x="302"/>
        <item x="83"/>
        <item x="292"/>
        <item x="173"/>
        <item x="203"/>
        <item x="73"/>
        <item x="175"/>
        <item x="174"/>
        <item x="252"/>
        <item x="247"/>
        <item x="95"/>
        <item x="246"/>
        <item x="197"/>
        <item x="282"/>
        <item x="254"/>
        <item x="186"/>
        <item x="337"/>
        <item x="277"/>
        <item x="242"/>
        <item x="31"/>
        <item x="280"/>
        <item x="340"/>
        <item x="30"/>
        <item x="244"/>
        <item x="343"/>
        <item x="273"/>
        <item x="299"/>
        <item x="344"/>
        <item x="128"/>
        <item x="132"/>
        <item x="171"/>
        <item x="272"/>
        <item x="318"/>
        <item x="71"/>
        <item x="227"/>
        <item x="290"/>
        <item x="287"/>
        <item x="164"/>
        <item x="285"/>
        <item x="27"/>
        <item x="46"/>
        <item x="67"/>
        <item x="250"/>
        <item x="313"/>
        <item x="255"/>
        <item x="291"/>
        <item x="331"/>
        <item x="256"/>
        <item x="251"/>
        <item x="74"/>
        <item x="334"/>
        <item x="75"/>
        <item x="268"/>
        <item x="333"/>
        <item x="319"/>
        <item x="310"/>
        <item x="33"/>
        <item x="329"/>
        <item x="24"/>
        <item x="25"/>
        <item x="23"/>
        <item x="202"/>
        <item x="1"/>
        <item x="309"/>
        <item x="127"/>
        <item x="19"/>
        <item x="338"/>
        <item x="12"/>
        <item x="314"/>
        <item x="339"/>
        <item x="341"/>
        <item x="11"/>
        <item x="8"/>
        <item x="10"/>
        <item x="297"/>
        <item x="323"/>
        <item x="295"/>
        <item x="324"/>
        <item x="325"/>
        <item x="321"/>
        <item x="81"/>
        <item x="293"/>
        <item x="54"/>
        <item x="326"/>
        <item x="237"/>
        <item x="238"/>
        <item x="239"/>
        <item x="332"/>
        <item x="57"/>
        <item x="315"/>
        <item x="317"/>
        <item x="330"/>
        <item x="269"/>
        <item x="56"/>
        <item x="316"/>
        <item x="55"/>
        <item x="335"/>
        <item x="283"/>
        <item x="336"/>
        <item x="228"/>
        <item x="85"/>
        <item x="20"/>
        <item x="304"/>
        <item x="21"/>
        <item x="294"/>
        <item x="42"/>
        <item x="15"/>
        <item x="61"/>
        <item x="18"/>
        <item x="342"/>
        <item x="288"/>
        <item x="296"/>
        <item x="165"/>
        <item x="62"/>
        <item x="120"/>
        <item x="130"/>
        <item x="53"/>
        <item x="307"/>
        <item x="41"/>
        <item x="281"/>
        <item x="275"/>
        <item x="47"/>
        <item x="279"/>
        <item x="147"/>
        <item x="153"/>
        <item x="157"/>
        <item x="156"/>
        <item x="129"/>
        <item x="82"/>
        <item x="134"/>
        <item x="78"/>
        <item x="312"/>
        <item x="284"/>
        <item x="289"/>
        <item x="158"/>
        <item x="286"/>
        <item x="308"/>
        <item x="135"/>
        <item x="141"/>
        <item x="274"/>
        <item x="123"/>
        <item x="234"/>
        <item x="122"/>
        <item x="217"/>
        <item x="209"/>
        <item x="213"/>
        <item x="88"/>
        <item x="119"/>
        <item x="270"/>
        <item x="267"/>
        <item x="172"/>
        <item x="60"/>
        <item x="137"/>
        <item x="298"/>
        <item x="216"/>
        <item x="44"/>
        <item x="43"/>
        <item x="39"/>
        <item x="94"/>
        <item x="69"/>
        <item x="311"/>
        <item x="106"/>
        <item x="40"/>
        <item x="105"/>
        <item x="58"/>
        <item x="139"/>
        <item x="265"/>
        <item x="76"/>
        <item x="108"/>
        <item x="79"/>
        <item x="80"/>
        <item x="22"/>
        <item x="16"/>
        <item x="222"/>
        <item x="13"/>
        <item x="266"/>
        <item x="72"/>
        <item x="6"/>
        <item x="327"/>
        <item x="328"/>
        <item x="225"/>
        <item x="143"/>
        <item x="230"/>
        <item x="236"/>
        <item x="231"/>
        <item x="232"/>
        <item x="223"/>
        <item x="210"/>
        <item x="126"/>
        <item x="200"/>
        <item x="160"/>
        <item x="248"/>
        <item x="34"/>
        <item x="35"/>
        <item x="201"/>
        <item x="155"/>
        <item x="260"/>
        <item x="199"/>
        <item x="26"/>
        <item x="17"/>
        <item x="205"/>
        <item x="9"/>
        <item x="220"/>
        <item x="192"/>
        <item x="4"/>
        <item x="183"/>
        <item x="219"/>
        <item x="7"/>
        <item x="5"/>
        <item x="154"/>
        <item x="142"/>
        <item x="146"/>
        <item x="221"/>
        <item x="249"/>
        <item x="36"/>
        <item x="149"/>
        <item x="218"/>
        <item x="109"/>
        <item x="241"/>
        <item x="107"/>
        <item x="124"/>
        <item x="263"/>
        <item x="104"/>
        <item x="259"/>
        <item x="215"/>
        <item x="101"/>
        <item x="261"/>
        <item x="262"/>
        <item x="204"/>
        <item x="163"/>
        <item x="48"/>
        <item x="168"/>
        <item x="166"/>
        <item x="87"/>
        <item x="169"/>
        <item x="93"/>
        <item x="14"/>
        <item x="306"/>
        <item x="103"/>
        <item x="86"/>
        <item x="92"/>
        <item x="90"/>
        <item x="97"/>
        <item x="96"/>
        <item x="102"/>
        <item x="150"/>
        <item x="68"/>
        <item x="243"/>
        <item x="258"/>
        <item x="77"/>
        <item x="99"/>
        <item x="98"/>
        <item x="100"/>
        <item x="151"/>
        <item x="152"/>
        <item x="138"/>
        <item x="245"/>
        <item x="170"/>
        <item x="3"/>
        <item x="84"/>
        <item x="180"/>
        <item x="159"/>
        <item x="89"/>
        <item x="91"/>
        <item x="144"/>
        <item x="125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86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t="default"/>
      </items>
    </pivotField>
    <pivotField compact="0" showAll="0">
      <items count="293">
        <item x="0"/>
        <item x="123"/>
        <item x="121"/>
        <item x="122"/>
        <item x="11"/>
        <item x="1"/>
        <item x="9"/>
        <item x="6"/>
        <item x="213"/>
        <item x="28"/>
        <item x="27"/>
        <item x="237"/>
        <item x="44"/>
        <item x="228"/>
        <item x="142"/>
        <item x="205"/>
        <item x="231"/>
        <item x="124"/>
        <item x="22"/>
        <item x="12"/>
        <item x="8"/>
        <item x="224"/>
        <item x="117"/>
        <item x="88"/>
        <item x="241"/>
        <item x="217"/>
        <item x="203"/>
        <item x="38"/>
        <item x="218"/>
        <item x="61"/>
        <item x="222"/>
        <item x="223"/>
        <item x="17"/>
        <item x="106"/>
        <item x="182"/>
        <item x="33"/>
        <item x="129"/>
        <item x="175"/>
        <item x="34"/>
        <item x="163"/>
        <item x="65"/>
        <item x="66"/>
        <item x="32"/>
        <item x="74"/>
        <item x="126"/>
        <item x="109"/>
        <item x="127"/>
        <item x="59"/>
        <item x="125"/>
        <item x="63"/>
        <item x="111"/>
        <item x="62"/>
        <item x="143"/>
        <item x="242"/>
        <item x="103"/>
        <item x="101"/>
        <item x="100"/>
        <item x="183"/>
        <item x="176"/>
        <item x="151"/>
        <item x="80"/>
        <item x="36"/>
        <item x="67"/>
        <item x="81"/>
        <item x="35"/>
        <item x="82"/>
        <item x="172"/>
        <item x="25"/>
        <item x="16"/>
        <item x="105"/>
        <item x="83"/>
        <item x="56"/>
        <item x="102"/>
        <item x="85"/>
        <item x="55"/>
        <item x="37"/>
        <item x="104"/>
        <item x="26"/>
        <item x="169"/>
        <item x="71"/>
        <item x="171"/>
        <item x="21"/>
        <item x="161"/>
        <item x="87"/>
        <item x="170"/>
        <item x="29"/>
        <item x="155"/>
        <item x="157"/>
        <item x="168"/>
        <item x="113"/>
        <item x="159"/>
        <item x="110"/>
        <item x="40"/>
        <item x="167"/>
        <item x="225"/>
        <item x="144"/>
        <item x="180"/>
        <item x="227"/>
        <item x="149"/>
        <item x="226"/>
        <item x="57"/>
        <item x="18"/>
        <item x="134"/>
        <item x="220"/>
        <item x="135"/>
        <item x="15"/>
        <item x="200"/>
        <item x="141"/>
        <item x="132"/>
        <item x="23"/>
        <item x="94"/>
        <item x="107"/>
        <item x="108"/>
        <item x="114"/>
        <item x="95"/>
        <item x="93"/>
        <item x="137"/>
        <item x="138"/>
        <item x="41"/>
        <item x="139"/>
        <item x="235"/>
        <item x="19"/>
        <item x="233"/>
        <item x="13"/>
        <item x="97"/>
        <item x="201"/>
        <item x="208"/>
        <item x="215"/>
        <item x="145"/>
        <item x="212"/>
        <item x="202"/>
        <item x="239"/>
        <item x="195"/>
        <item x="229"/>
        <item x="221"/>
        <item x="46"/>
        <item x="197"/>
        <item x="209"/>
        <item x="119"/>
        <item x="234"/>
        <item x="204"/>
        <item x="216"/>
        <item x="214"/>
        <item x="236"/>
        <item x="238"/>
        <item x="92"/>
        <item x="91"/>
        <item x="14"/>
        <item x="98"/>
        <item x="47"/>
        <item x="193"/>
        <item x="152"/>
        <item x="10"/>
        <item x="68"/>
        <item x="194"/>
        <item x="120"/>
        <item x="5"/>
        <item x="136"/>
        <item x="96"/>
        <item x="73"/>
        <item x="118"/>
        <item x="2"/>
        <item x="4"/>
        <item x="3"/>
        <item x="196"/>
        <item x="131"/>
        <item x="133"/>
        <item x="128"/>
        <item x="164"/>
        <item x="31"/>
        <item x="116"/>
        <item x="112"/>
        <item x="58"/>
        <item x="75"/>
        <item x="185"/>
        <item x="99"/>
        <item x="77"/>
        <item x="150"/>
        <item x="130"/>
        <item x="153"/>
        <item x="60"/>
        <item x="192"/>
        <item x="199"/>
        <item x="140"/>
        <item x="184"/>
        <item x="86"/>
        <item x="160"/>
        <item x="181"/>
        <item x="24"/>
        <item x="166"/>
        <item x="189"/>
        <item x="156"/>
        <item x="42"/>
        <item x="211"/>
        <item x="178"/>
        <item x="207"/>
        <item x="158"/>
        <item x="177"/>
        <item x="187"/>
        <item x="173"/>
        <item x="240"/>
        <item x="191"/>
        <item x="188"/>
        <item x="219"/>
        <item x="186"/>
        <item x="7"/>
        <item x="49"/>
        <item x="30"/>
        <item x="115"/>
        <item x="52"/>
        <item x="210"/>
        <item x="162"/>
        <item x="147"/>
        <item x="148"/>
        <item x="45"/>
        <item x="43"/>
        <item x="230"/>
        <item x="174"/>
        <item x="165"/>
        <item x="232"/>
        <item x="39"/>
        <item x="76"/>
        <item x="79"/>
        <item x="69"/>
        <item x="90"/>
        <item x="198"/>
        <item x="190"/>
        <item x="70"/>
        <item x="179"/>
        <item x="20"/>
        <item x="72"/>
        <item x="146"/>
        <item x="48"/>
        <item x="51"/>
        <item x="84"/>
        <item x="50"/>
        <item x="53"/>
        <item x="154"/>
        <item x="54"/>
        <item x="64"/>
        <item x="89"/>
        <item x="206"/>
        <item x="78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91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t="default"/>
      </items>
    </pivotField>
    <pivotField compact="0" showAll="0">
      <items count="66">
        <item x="0"/>
        <item x="61"/>
        <item x="51"/>
        <item x="50"/>
        <item x="48"/>
        <item x="26"/>
        <item x="8"/>
        <item x="46"/>
        <item x="40"/>
        <item x="21"/>
        <item x="23"/>
        <item x="41"/>
        <item x="9"/>
        <item x="33"/>
        <item x="34"/>
        <item x="42"/>
        <item x="47"/>
        <item x="37"/>
        <item x="7"/>
        <item x="53"/>
        <item x="44"/>
        <item x="32"/>
        <item x="38"/>
        <item x="35"/>
        <item x="43"/>
        <item x="31"/>
        <item x="39"/>
        <item x="49"/>
        <item x="29"/>
        <item x="24"/>
        <item x="25"/>
        <item x="11"/>
        <item x="57"/>
        <item x="58"/>
        <item x="6"/>
        <item x="45"/>
        <item x="5"/>
        <item x="2"/>
        <item x="54"/>
        <item x="14"/>
        <item x="19"/>
        <item x="13"/>
        <item x="52"/>
        <item x="30"/>
        <item x="59"/>
        <item x="55"/>
        <item x="28"/>
        <item x="36"/>
        <item x="20"/>
        <item x="3"/>
        <item x="15"/>
        <item x="22"/>
        <item x="56"/>
        <item x="16"/>
        <item x="1"/>
        <item x="27"/>
        <item x="60"/>
        <item x="4"/>
        <item x="17"/>
        <item x="10"/>
        <item x="18"/>
        <item x="12"/>
        <item x="62"/>
        <item x="63"/>
        <item x="64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dataField="1" compact="0" showAll="0">
      <items count="2038">
        <item x="1285"/>
        <item x="432"/>
        <item x="298"/>
        <item x="238"/>
        <item x="350"/>
        <item x="380"/>
        <item x="236"/>
        <item x="222"/>
        <item x="215"/>
        <item x="386"/>
        <item x="448"/>
        <item x="203"/>
        <item x="8"/>
        <item x="464"/>
        <item x="430"/>
        <item x="715"/>
        <item x="333"/>
        <item x="336"/>
        <item x="675"/>
        <item x="360"/>
        <item x="370"/>
        <item x="343"/>
        <item x="364"/>
        <item x="385"/>
        <item x="189"/>
        <item x="230"/>
        <item x="374"/>
        <item x="169"/>
        <item x="1294"/>
        <item x="723"/>
        <item x="749"/>
        <item x="707"/>
        <item x="808"/>
        <item x="694"/>
        <item x="369"/>
        <item x="192"/>
        <item x="197"/>
        <item x="245"/>
        <item x="1315"/>
        <item x="188"/>
        <item x="696"/>
        <item x="755"/>
        <item x="1102"/>
        <item x="746"/>
        <item x="246"/>
        <item x="927"/>
        <item x="745"/>
        <item x="887"/>
        <item x="224"/>
        <item x="310"/>
        <item x="212"/>
        <item x="809"/>
        <item x="823"/>
        <item x="839"/>
        <item x="907"/>
        <item x="896"/>
        <item x="925"/>
        <item x="878"/>
        <item x="419"/>
        <item x="200"/>
        <item x="917"/>
        <item x="777"/>
        <item x="229"/>
        <item x="421"/>
        <item x="426"/>
        <item x="772"/>
        <item x="244"/>
        <item x="413"/>
        <item x="522"/>
        <item x="918"/>
        <item x="763"/>
        <item x="128"/>
        <item x="739"/>
        <item x="427"/>
        <item x="877"/>
        <item x="407"/>
        <item x="434"/>
        <item x="247"/>
        <item x="857"/>
        <item x="561"/>
        <item x="880"/>
        <item x="781"/>
        <item x="904"/>
        <item x="921"/>
        <item x="1072"/>
        <item x="460"/>
        <item x="250"/>
        <item x="714"/>
        <item x="263"/>
        <item x="259"/>
        <item x="931"/>
        <item x="768"/>
        <item x="361"/>
        <item x="702"/>
        <item x="362"/>
        <item x="265"/>
        <item x="517"/>
        <item x="989"/>
        <item x="99"/>
        <item x="354"/>
        <item x="575"/>
        <item x="924"/>
        <item x="348"/>
        <item x="728"/>
        <item x="997"/>
        <item x="599"/>
        <item x="554"/>
        <item x="578"/>
        <item x="378"/>
        <item x="732"/>
        <item x="516"/>
        <item x="760"/>
        <item x="436"/>
        <item x="19"/>
        <item x="843"/>
        <item x="914"/>
        <item x="267"/>
        <item x="1383"/>
        <item x="160"/>
        <item x="521"/>
        <item x="409"/>
        <item x="18"/>
        <item x="491"/>
        <item x="957"/>
        <item x="334"/>
        <item x="583"/>
        <item x="588"/>
        <item x="838"/>
        <item x="458"/>
        <item x="1013"/>
        <item x="486"/>
        <item x="584"/>
        <item x="48"/>
        <item x="935"/>
        <item x="523"/>
        <item x="529"/>
        <item x="531"/>
        <item x="934"/>
        <item x="717"/>
        <item x="497"/>
        <item x="929"/>
        <item x="506"/>
        <item x="764"/>
        <item x="508"/>
        <item x="452"/>
        <item x="20"/>
        <item x="509"/>
        <item x="889"/>
        <item x="605"/>
        <item x="1337"/>
        <item x="219"/>
        <item x="514"/>
        <item x="102"/>
        <item x="913"/>
        <item x="268"/>
        <item x="406"/>
        <item x="101"/>
        <item x="596"/>
        <item x="1168"/>
        <item x="1157"/>
        <item x="454"/>
        <item x="1318"/>
        <item x="945"/>
        <item x="1089"/>
        <item x="700"/>
        <item x="1278"/>
        <item x="1270"/>
        <item x="963"/>
        <item x="1000"/>
        <item x="961"/>
        <item x="512"/>
        <item x="1361"/>
        <item x="1042"/>
        <item x="1358"/>
        <item x="955"/>
        <item x="1355"/>
        <item x="299"/>
        <item x="1217"/>
        <item x="450"/>
        <item x="1077"/>
        <item x="534"/>
        <item x="304"/>
        <item x="983"/>
        <item x="998"/>
        <item x="459"/>
        <item x="1093"/>
        <item x="278"/>
        <item x="547"/>
        <item x="1272"/>
        <item x="612"/>
        <item x="1331"/>
        <item x="186"/>
        <item x="689"/>
        <item x="1316"/>
        <item x="664"/>
        <item x="663"/>
        <item x="691"/>
        <item x="635"/>
        <item x="661"/>
        <item x="507"/>
        <item x="1103"/>
        <item x="1107"/>
        <item x="483"/>
        <item x="485"/>
        <item x="1097"/>
        <item x="168"/>
        <item x="1352"/>
        <item x="630"/>
        <item x="442"/>
        <item x="1368"/>
        <item x="1019"/>
        <item x="649"/>
        <item x="443"/>
        <item x="1305"/>
        <item x="617"/>
        <item x="179"/>
        <item x="685"/>
        <item x="1172"/>
        <item x="1109"/>
        <item x="12"/>
        <item x="638"/>
        <item x="543"/>
        <item x="441"/>
        <item x="1373"/>
        <item x="1400"/>
        <item x="35"/>
        <item x="609"/>
        <item x="93"/>
        <item x="281"/>
        <item x="1360"/>
        <item x="1414"/>
        <item x="39"/>
        <item x="479"/>
        <item x="1354"/>
        <item x="233"/>
        <item x="68"/>
        <item x="699"/>
        <item x="1232"/>
        <item x="183"/>
        <item x="1246"/>
        <item x="258"/>
        <item x="472"/>
        <item x="1346"/>
        <item x="505"/>
        <item x="743"/>
        <item x="60"/>
        <item x="792"/>
        <item x="790"/>
        <item x="740"/>
        <item x="1175"/>
        <item x="140"/>
        <item x="735"/>
        <item x="795"/>
        <item x="727"/>
        <item x="266"/>
        <item x="771"/>
        <item x="637"/>
        <item x="1396"/>
        <item x="29"/>
        <item x="1252"/>
        <item x="1141"/>
        <item x="802"/>
        <item x="794"/>
        <item x="256"/>
        <item x="1407"/>
        <item x="865"/>
        <item x="410"/>
        <item x="257"/>
        <item x="402"/>
        <item x="106"/>
        <item x="1112"/>
        <item x="180"/>
        <item x="475"/>
        <item x="469"/>
        <item x="1154"/>
        <item x="171"/>
        <item x="138"/>
        <item x="403"/>
        <item x="394"/>
        <item x="1406"/>
        <item x="176"/>
        <item x="393"/>
        <item x="481"/>
        <item x="126"/>
        <item x="392"/>
        <item x="710"/>
        <item x="480"/>
        <item x="121"/>
        <item x="122"/>
        <item x="471"/>
        <item x="1006"/>
        <item x="830"/>
        <item x="467"/>
        <item x="1005"/>
        <item x="335"/>
        <item x="272"/>
        <item x="136"/>
        <item x="1314"/>
        <item x="289"/>
        <item x="1228"/>
        <item x="97"/>
        <item x="719"/>
        <item x="321"/>
        <item x="274"/>
        <item x="562"/>
        <item x="555"/>
        <item x="489"/>
        <item x="669"/>
        <item x="290"/>
        <item x="500"/>
        <item x="296"/>
        <item x="806"/>
        <item x="970"/>
        <item x="756"/>
        <item x="667"/>
        <item x="1161"/>
        <item x="550"/>
        <item x="559"/>
        <item x="383"/>
        <item x="532"/>
        <item x="572"/>
        <item x="164"/>
        <item x="184"/>
        <item x="556"/>
        <item x="162"/>
        <item x="344"/>
        <item x="883"/>
        <item x="318"/>
        <item x="819"/>
        <item x="317"/>
        <item x="759"/>
        <item x="1389"/>
        <item x="827"/>
        <item x="868"/>
        <item x="167"/>
        <item x="384"/>
        <item x="603"/>
        <item x="859"/>
        <item x="672"/>
        <item x="870"/>
        <item x="874"/>
        <item x="478"/>
        <item x="228"/>
        <item x="311"/>
        <item x="496"/>
        <item x="89"/>
        <item x="632"/>
        <item x="269"/>
        <item x="495"/>
        <item x="1382"/>
        <item x="1164"/>
        <item x="279"/>
        <item x="501"/>
        <item x="1084"/>
        <item x="985"/>
        <item x="1413"/>
        <item x="115"/>
        <item x="1205"/>
        <item x="1110"/>
        <item x="207"/>
        <item x="980"/>
        <item x="104"/>
        <item x="1325"/>
        <item x="165"/>
        <item x="141"/>
        <item x="313"/>
        <item x="1263"/>
        <item x="211"/>
        <item x="285"/>
        <item x="105"/>
        <item x="1035"/>
        <item x="569"/>
        <item x="1170"/>
        <item x="1174"/>
        <item x="1195"/>
        <item x="1374"/>
        <item x="395"/>
        <item x="1200"/>
        <item x="511"/>
        <item x="567"/>
        <item x="1210"/>
        <item x="1037"/>
        <item x="416"/>
        <item x="1031"/>
        <item x="580"/>
        <item x="38"/>
        <item x="1264"/>
        <item x="120"/>
        <item x="1348"/>
        <item x="31"/>
        <item x="542"/>
        <item x="64"/>
        <item x="620"/>
        <item x="1287"/>
        <item x="1045"/>
        <item x="978"/>
        <item x="1247"/>
        <item x="1273"/>
        <item x="1256"/>
        <item x="98"/>
        <item x="966"/>
        <item x="95"/>
        <item x="650"/>
        <item x="294"/>
        <item x="624"/>
        <item x="47"/>
        <item x="62"/>
        <item x="147"/>
        <item x="1339"/>
        <item x="625"/>
        <item x="1163"/>
        <item x="156"/>
        <item x="590"/>
        <item x="1319"/>
        <item x="1083"/>
        <item x="145"/>
        <item x="1238"/>
        <item x="158"/>
        <item x="544"/>
        <item x="439"/>
        <item x="1235"/>
        <item x="14"/>
        <item x="1136"/>
        <item x="24"/>
        <item x="25"/>
        <item x="1"/>
        <item x="220"/>
        <item x="373"/>
        <item x="1312"/>
        <item x="324"/>
        <item x="65"/>
        <item x="6"/>
        <item x="1344"/>
        <item x="658"/>
        <item x="74"/>
        <item x="70"/>
        <item x="828"/>
        <item x="1214"/>
        <item x="77"/>
        <item x="1393"/>
        <item x="112"/>
        <item x="1230"/>
        <item x="1323"/>
        <item x="82"/>
        <item x="621"/>
        <item x="53"/>
        <item x="56"/>
        <item x="538"/>
        <item x="536"/>
        <item x="540"/>
        <item x="398"/>
        <item x="1243"/>
        <item x="482"/>
        <item x="43"/>
        <item x="32"/>
        <item x="633"/>
        <item x="748"/>
        <item x="837"/>
        <item x="201"/>
        <item x="323"/>
        <item x="1156"/>
        <item x="408"/>
        <item x="280"/>
        <item x="602"/>
        <item x="842"/>
        <item x="1064"/>
        <item x="1114"/>
        <item x="706"/>
        <item x="1086"/>
        <item x="1071"/>
        <item x="595"/>
        <item x="1144"/>
        <item x="1371"/>
        <item x="85"/>
        <item x="293"/>
        <item x="1388"/>
        <item x="396"/>
        <item x="784"/>
        <item x="905"/>
        <item x="1143"/>
        <item x="1234"/>
        <item x="1240"/>
        <item x="604"/>
        <item x="55"/>
        <item x="1395"/>
        <item x="968"/>
        <item x="1088"/>
        <item x="1099"/>
        <item x="412"/>
        <item x="1366"/>
        <item x="79"/>
        <item x="566"/>
        <item x="1125"/>
        <item x="1151"/>
        <item x="589"/>
        <item x="855"/>
        <item x="568"/>
        <item x="277"/>
        <item x="455"/>
        <item x="1404"/>
        <item x="587"/>
        <item x="579"/>
        <item x="411"/>
        <item x="1281"/>
        <item x="21"/>
        <item x="1411"/>
        <item x="1379"/>
        <item x="342"/>
        <item x="641"/>
        <item x="987"/>
        <item x="1307"/>
        <item x="1067"/>
        <item x="628"/>
        <item x="34"/>
        <item x="937"/>
        <item x="375"/>
        <item x="681"/>
        <item x="815"/>
        <item x="654"/>
        <item x="1304"/>
        <item x="376"/>
        <item x="645"/>
        <item x="866"/>
        <item x="682"/>
        <item x="58"/>
        <item x="1015"/>
        <item x="753"/>
        <item x="1209"/>
        <item x="218"/>
        <item x="118"/>
        <item x="779"/>
        <item x="646"/>
        <item x="930"/>
        <item x="1250"/>
        <item x="677"/>
        <item x="761"/>
        <item x="1087"/>
        <item x="428"/>
        <item x="1082"/>
        <item x="356"/>
        <item x="425"/>
        <item x="634"/>
        <item x="1098"/>
        <item x="1283"/>
        <item x="643"/>
        <item x="1108"/>
        <item x="679"/>
        <item x="622"/>
        <item x="130"/>
        <item x="341"/>
        <item x="798"/>
        <item x="152"/>
        <item x="1222"/>
        <item x="848"/>
        <item x="570"/>
        <item x="132"/>
        <item x="1223"/>
        <item x="1081"/>
        <item x="1080"/>
        <item x="1111"/>
        <item x="1134"/>
        <item x="276"/>
        <item x="807"/>
        <item x="1001"/>
        <item x="1341"/>
        <item x="833"/>
        <item x="1039"/>
        <item x="721"/>
        <item x="1324"/>
        <item x="655"/>
        <item x="1129"/>
        <item x="885"/>
        <item x="5"/>
        <item x="548"/>
        <item x="1148"/>
        <item x="780"/>
        <item x="939"/>
        <item x="898"/>
        <item x="948"/>
        <item x="1162"/>
        <item x="1334"/>
        <item x="730"/>
        <item x="847"/>
        <item x="1011"/>
        <item x="844"/>
        <item x="953"/>
        <item x="1191"/>
        <item x="1177"/>
        <item x="787"/>
        <item x="1049"/>
        <item x="1123"/>
        <item x="1023"/>
        <item x="1116"/>
        <item x="1372"/>
        <item x="683"/>
        <item x="1055"/>
        <item x="1367"/>
        <item x="687"/>
        <item x="688"/>
        <item x="1251"/>
        <item x="1009"/>
        <item x="941"/>
        <item x="1220"/>
        <item x="754"/>
        <item x="1028"/>
        <item x="990"/>
        <item x="1012"/>
        <item x="1030"/>
        <item x="1132"/>
        <item x="1412"/>
        <item x="950"/>
        <item x="1010"/>
        <item x="873"/>
        <item x="1048"/>
        <item x="951"/>
        <item x="972"/>
        <item x="1187"/>
        <item x="1186"/>
        <item x="1179"/>
        <item x="1121"/>
        <item x="1053"/>
        <item x="647"/>
        <item x="994"/>
        <item x="697"/>
        <item x="1221"/>
        <item x="1024"/>
        <item x="397"/>
        <item x="954"/>
        <item x="1197"/>
        <item x="1022"/>
        <item x="1133"/>
        <item x="899"/>
        <item x="1061"/>
        <item x="944"/>
        <item x="1128"/>
        <item x="1180"/>
        <item x="1194"/>
        <item x="1059"/>
        <item x="960"/>
        <item x="1135"/>
        <item x="571"/>
        <item x="1029"/>
        <item x="1027"/>
        <item x="457"/>
        <item x="942"/>
        <item x="1259"/>
        <item x="1178"/>
        <item x="1122"/>
        <item x="774"/>
        <item x="992"/>
        <item x="1120"/>
        <item x="1167"/>
        <item x="208"/>
        <item x="995"/>
        <item x="1166"/>
        <item x="1147"/>
        <item x="993"/>
        <item x="1189"/>
        <item x="911"/>
        <item x="367"/>
        <item x="1130"/>
        <item x="1085"/>
        <item x="973"/>
        <item x="969"/>
        <item x="305"/>
        <item x="306"/>
        <item x="1149"/>
        <item x="1266"/>
        <item x="1291"/>
        <item x="1018"/>
        <item x="1131"/>
        <item x="1025"/>
        <item x="804"/>
        <item x="825"/>
        <item x="892"/>
        <item x="283"/>
        <item x="1034"/>
        <item x="295"/>
        <item x="660"/>
        <item x="1092"/>
        <item x="1126"/>
        <item x="1063"/>
        <item x="853"/>
        <item x="849"/>
        <item x="1124"/>
        <item x="1377"/>
        <item x="1398"/>
        <item x="1192"/>
        <item x="1299"/>
        <item x="307"/>
        <item x="656"/>
        <item x="322"/>
        <item x="1313"/>
        <item x="1387"/>
        <item x="1070"/>
        <item x="1289"/>
        <item x="886"/>
        <item x="615"/>
        <item x="1219"/>
        <item x="1405"/>
        <item x="1188"/>
        <item x="1190"/>
        <item x="1345"/>
        <item x="1260"/>
        <item x="1261"/>
        <item x="680"/>
        <item x="1290"/>
        <item x="1349"/>
        <item x="1199"/>
        <item x="1380"/>
        <item x="1224"/>
        <item x="1058"/>
        <item x="1057"/>
        <item x="1198"/>
        <item x="996"/>
        <item x="900"/>
        <item x="1267"/>
        <item x="1268"/>
        <item x="789"/>
        <item x="1181"/>
        <item x="1333"/>
        <item x="1269"/>
        <item x="785"/>
        <item x="1160"/>
        <item x="940"/>
        <item x="241"/>
        <item x="938"/>
        <item x="1292"/>
        <item x="974"/>
        <item x="1351"/>
        <item x="1119"/>
        <item x="894"/>
        <item x="499"/>
        <item x="926"/>
        <item x="329"/>
        <item x="902"/>
        <item x="1282"/>
        <item x="1182"/>
        <item x="850"/>
        <item x="1207"/>
        <item x="1113"/>
        <item x="404"/>
        <item x="629"/>
        <item x="1140"/>
        <item x="1146"/>
        <item x="284"/>
        <item x="1208"/>
        <item x="642"/>
        <item x="84"/>
        <item x="1213"/>
        <item x="239"/>
        <item x="901"/>
        <item x="854"/>
        <item x="979"/>
        <item x="1066"/>
        <item x="1017"/>
        <item x="932"/>
        <item x="856"/>
        <item x="986"/>
        <item x="1394"/>
        <item x="1329"/>
        <item x="867"/>
        <item x="240"/>
        <item x="1330"/>
        <item x="875"/>
        <item x="1051"/>
        <item x="227"/>
        <item x="975"/>
        <item x="528"/>
        <item x="1218"/>
        <item x="405"/>
        <item x="1225"/>
        <item x="1328"/>
        <item x="17"/>
        <item x="943"/>
        <item x="1020"/>
        <item x="209"/>
        <item x="1239"/>
        <item x="1293"/>
        <item x="606"/>
        <item x="1052"/>
        <item x="775"/>
        <item x="1165"/>
        <item x="1060"/>
        <item x="1336"/>
        <item x="1302"/>
        <item x="433"/>
        <item x="330"/>
        <item x="1050"/>
        <item x="83"/>
        <item x="137"/>
        <item x="826"/>
        <item x="90"/>
        <item x="1381"/>
        <item x="1303"/>
        <item x="816"/>
        <item x="705"/>
        <item x="1106"/>
        <item x="1056"/>
        <item x="377"/>
        <item x="731"/>
        <item x="762"/>
        <item x="111"/>
        <item x="1127"/>
        <item x="157"/>
        <item x="131"/>
        <item x="1204"/>
        <item x="1026"/>
        <item x="1311"/>
        <item x="949"/>
        <item x="977"/>
        <item x="1115"/>
        <item x="1091"/>
        <item x="198"/>
        <item x="182"/>
        <item x="686"/>
        <item x="78"/>
        <item x="817"/>
        <item x="581"/>
        <item x="308"/>
        <item x="971"/>
        <item x="357"/>
        <item x="893"/>
        <item x="1326"/>
        <item x="1155"/>
        <item x="1040"/>
        <item x="210"/>
        <item x="30"/>
        <item x="593"/>
        <item x="967"/>
        <item x="1242"/>
        <item x="1265"/>
        <item x="1300"/>
        <item x="28"/>
        <item x="331"/>
        <item x="597"/>
        <item x="1301"/>
        <item x="1306"/>
        <item x="1044"/>
        <item x="869"/>
        <item x="906"/>
        <item x="76"/>
        <item x="368"/>
        <item x="607"/>
        <item x="1142"/>
        <item x="952"/>
        <item x="1280"/>
        <item x="1322"/>
        <item x="57"/>
        <item x="591"/>
        <item x="119"/>
        <item x="834"/>
        <item x="81"/>
        <item x="988"/>
        <item x="616"/>
        <item x="332"/>
        <item x="175"/>
        <item x="1153"/>
        <item x="1365"/>
        <item x="861"/>
        <item x="1262"/>
        <item x="852"/>
        <item x="895"/>
        <item x="1308"/>
        <item x="1417"/>
        <item x="592"/>
        <item x="1233"/>
        <item x="150"/>
        <item x="33"/>
        <item x="46"/>
        <item x="232"/>
        <item x="54"/>
        <item x="73"/>
        <item x="217"/>
        <item x="813"/>
        <item x="264"/>
        <item x="818"/>
        <item x="151"/>
        <item x="461"/>
        <item x="713"/>
        <item x="1410"/>
        <item x="678"/>
        <item x="1047"/>
        <item x="44"/>
        <item x="45"/>
        <item x="63"/>
        <item x="1340"/>
        <item x="52"/>
        <item x="1016"/>
        <item x="42"/>
        <item x="1403"/>
        <item x="965"/>
        <item x="1008"/>
        <item x="1096"/>
        <item x="1150"/>
        <item x="851"/>
        <item x="1343"/>
        <item x="61"/>
        <item x="1002"/>
        <item x="800"/>
        <item x="1392"/>
        <item x="734"/>
        <item x="829"/>
        <item x="135"/>
        <item x="835"/>
        <item x="1227"/>
        <item x="309"/>
        <item x="788"/>
        <item x="347"/>
        <item x="88"/>
        <item x="1255"/>
        <item x="1350"/>
        <item x="144"/>
        <item x="1196"/>
        <item x="1229"/>
        <item x="429"/>
        <item x="653"/>
        <item x="155"/>
        <item x="1237"/>
        <item x="7"/>
        <item x="1386"/>
        <item x="1378"/>
        <item x="1397"/>
        <item x="1258"/>
        <item x="799"/>
        <item x="129"/>
        <item x="1370"/>
        <item x="1021"/>
        <item x="282"/>
        <item x="1249"/>
        <item x="1068"/>
        <item x="1075"/>
        <item x="1399"/>
        <item x="991"/>
        <item x="805"/>
        <item x="1298"/>
        <item x="1288"/>
        <item x="1206"/>
        <item x="0"/>
        <item x="1416"/>
        <item x="1074"/>
        <item x="1118"/>
        <item x="769"/>
        <item x="862"/>
        <item x="243"/>
        <item x="1046"/>
        <item x="722"/>
        <item x="693"/>
        <item x="193"/>
        <item x="1257"/>
        <item x="648"/>
        <item x="114"/>
        <item x="100"/>
        <item x="608"/>
        <item x="1185"/>
        <item x="1145"/>
        <item x="726"/>
        <item x="947"/>
        <item x="1007"/>
        <item x="747"/>
        <item x="1309"/>
        <item x="1327"/>
        <item x="492"/>
        <item x="462"/>
        <item x="1184"/>
        <item x="1036"/>
        <item x="3"/>
        <item x="611"/>
        <item x="751"/>
        <item x="1054"/>
        <item x="1183"/>
        <item x="113"/>
        <item x="1202"/>
        <item x="234"/>
        <item x="671"/>
        <item x="783"/>
        <item x="1065"/>
        <item x="202"/>
        <item x="639"/>
        <item x="1062"/>
        <item x="549"/>
        <item x="541"/>
        <item x="537"/>
        <item x="539"/>
        <item x="1212"/>
        <item x="821"/>
        <item x="72"/>
        <item x="69"/>
        <item x="657"/>
        <item x="4"/>
        <item x="66"/>
        <item x="50"/>
        <item x="2"/>
        <item x="27"/>
        <item x="26"/>
        <item x="23"/>
        <item x="16"/>
        <item x="1137"/>
        <item x="146"/>
        <item x="153"/>
        <item x="440"/>
        <item x="149"/>
        <item x="545"/>
        <item x="148"/>
        <item x="1338"/>
        <item x="690"/>
        <item x="651"/>
        <item x="195"/>
        <item x="1254"/>
        <item x="1275"/>
        <item x="1248"/>
        <item x="652"/>
        <item x="1043"/>
        <item x="1286"/>
        <item x="67"/>
        <item x="546"/>
        <item x="1347"/>
        <item x="117"/>
        <item x="75"/>
        <item x="41"/>
        <item x="49"/>
        <item x="1032"/>
        <item x="418"/>
        <item x="1038"/>
        <item x="1211"/>
        <item x="1241"/>
        <item x="1201"/>
        <item x="520"/>
        <item x="1375"/>
        <item x="420"/>
        <item x="1390"/>
        <item x="1176"/>
        <item x="1171"/>
        <item x="288"/>
        <item x="1193"/>
        <item x="143"/>
        <item x="1033"/>
        <item x="316"/>
        <item x="142"/>
        <item x="178"/>
        <item x="1203"/>
        <item x="670"/>
        <item x="116"/>
        <item x="286"/>
        <item x="1231"/>
        <item x="1236"/>
        <item x="92"/>
        <item x="312"/>
        <item x="477"/>
        <item x="871"/>
        <item x="860"/>
        <item x="872"/>
        <item x="166"/>
        <item x="574"/>
        <item x="863"/>
        <item x="822"/>
        <item x="170"/>
        <item x="820"/>
        <item x="884"/>
        <item x="757"/>
        <item x="345"/>
        <item x="314"/>
        <item x="315"/>
        <item x="557"/>
        <item x="163"/>
        <item x="576"/>
        <item x="346"/>
        <item x="533"/>
        <item x="551"/>
        <item x="558"/>
        <item x="758"/>
        <item x="301"/>
        <item x="292"/>
        <item x="493"/>
        <item x="563"/>
        <item x="668"/>
        <item x="271"/>
        <item x="564"/>
        <item x="275"/>
        <item x="560"/>
        <item x="553"/>
        <item x="291"/>
        <item x="724"/>
        <item x="725"/>
        <item x="498"/>
        <item x="287"/>
        <item x="339"/>
        <item x="659"/>
        <item x="1409"/>
        <item x="831"/>
        <item x="124"/>
        <item x="123"/>
        <item x="473"/>
        <item x="468"/>
        <item x="466"/>
        <item x="876"/>
        <item x="832"/>
        <item x="708"/>
        <item x="388"/>
        <item x="174"/>
        <item x="319"/>
        <item x="389"/>
        <item x="173"/>
        <item x="390"/>
        <item x="803"/>
        <item x="134"/>
        <item x="107"/>
        <item x="91"/>
        <item x="476"/>
        <item x="391"/>
        <item x="249"/>
        <item x="470"/>
        <item x="1408"/>
        <item x="400"/>
        <item x="248"/>
        <item x="177"/>
        <item x="401"/>
        <item x="474"/>
        <item x="139"/>
        <item x="793"/>
        <item x="328"/>
        <item x="1391"/>
        <item x="801"/>
        <item x="110"/>
        <item x="796"/>
        <item x="744"/>
        <item x="415"/>
        <item x="797"/>
        <item x="154"/>
        <item x="733"/>
        <item x="737"/>
        <item x="791"/>
        <item x="503"/>
        <item x="741"/>
        <item x="494"/>
        <item x="185"/>
        <item x="261"/>
        <item x="786"/>
        <item x="1244"/>
        <item x="673"/>
        <item x="846"/>
        <item x="1253"/>
        <item x="71"/>
        <item x="1356"/>
        <item x="701"/>
        <item x="1245"/>
        <item x="262"/>
        <item x="40"/>
        <item x="1415"/>
        <item x="94"/>
        <item x="1363"/>
        <item x="610"/>
        <item x="36"/>
        <item x="1402"/>
        <item x="1401"/>
        <item x="614"/>
        <item x="1384"/>
        <item x="1216"/>
        <item x="15"/>
        <item x="1173"/>
        <item x="619"/>
        <item x="618"/>
        <item x="87"/>
        <item x="984"/>
        <item x="644"/>
        <item x="598"/>
        <item x="127"/>
        <item x="445"/>
        <item x="1353"/>
        <item x="1105"/>
        <item x="662"/>
        <item x="484"/>
        <item x="692"/>
        <item x="665"/>
        <item x="666"/>
        <item x="488"/>
        <item x="504"/>
        <item x="1317"/>
        <item x="446"/>
        <item x="444"/>
        <item x="627"/>
        <item x="1332"/>
        <item x="613"/>
        <item x="631"/>
        <item x="187"/>
        <item x="1274"/>
        <item x="636"/>
        <item x="1321"/>
        <item x="1095"/>
        <item x="96"/>
        <item x="1297"/>
        <item x="535"/>
        <item x="80"/>
        <item x="463"/>
        <item x="1079"/>
        <item x="451"/>
        <item x="999"/>
        <item x="1078"/>
        <item x="303"/>
        <item x="1357"/>
        <item x="552"/>
        <item x="1152"/>
        <item x="956"/>
        <item x="1362"/>
        <item x="676"/>
        <item x="1364"/>
        <item x="513"/>
        <item x="1117"/>
        <item x="1004"/>
        <item x="1359"/>
        <item x="964"/>
        <item x="1271"/>
        <item x="958"/>
        <item x="1277"/>
        <item x="1369"/>
        <item x="1279"/>
        <item x="1226"/>
        <item x="199"/>
        <item x="1090"/>
        <item x="976"/>
        <item x="946"/>
        <item x="1094"/>
        <item x="525"/>
        <item x="1320"/>
        <item x="1158"/>
        <item x="1169"/>
        <item x="1310"/>
        <item x="1041"/>
        <item x="1159"/>
        <item x="108"/>
        <item x="1139"/>
        <item x="915"/>
        <item x="109"/>
        <item x="518"/>
        <item x="1335"/>
        <item x="891"/>
        <item x="1342"/>
        <item x="510"/>
        <item x="438"/>
        <item x="437"/>
        <item x="766"/>
        <item x="718"/>
        <item x="86"/>
        <item x="453"/>
        <item x="205"/>
        <item x="933"/>
        <item x="711"/>
        <item x="59"/>
        <item x="1138"/>
        <item x="527"/>
        <item x="51"/>
        <item x="325"/>
        <item x="936"/>
        <item x="530"/>
        <item x="586"/>
        <item x="487"/>
        <item x="1014"/>
        <item x="22"/>
        <item x="456"/>
        <item x="623"/>
        <item x="447"/>
        <item x="585"/>
        <item x="338"/>
        <item x="626"/>
        <item x="524"/>
        <item x="959"/>
        <item x="10"/>
        <item x="13"/>
        <item x="1385"/>
        <item x="916"/>
        <item x="11"/>
        <item x="962"/>
        <item x="379"/>
        <item x="594"/>
        <item x="600"/>
        <item x="573"/>
        <item x="767"/>
        <item x="161"/>
        <item x="601"/>
        <item x="729"/>
        <item x="351"/>
        <item x="519"/>
        <item x="502"/>
        <item x="577"/>
        <item x="355"/>
        <item x="270"/>
        <item x="125"/>
        <item x="365"/>
        <item x="353"/>
        <item x="888"/>
        <item x="465"/>
        <item x="703"/>
        <item x="359"/>
        <item x="704"/>
        <item x="582"/>
        <item x="260"/>
        <item x="255"/>
        <item x="1073"/>
        <item x="712"/>
        <item x="1003"/>
        <item x="273"/>
        <item x="923"/>
        <item x="928"/>
        <item x="982"/>
        <item x="782"/>
        <item x="881"/>
        <item x="565"/>
        <item x="858"/>
        <item x="254"/>
        <item x="879"/>
        <item x="765"/>
        <item x="640"/>
        <item x="882"/>
        <item x="922"/>
        <item x="526"/>
        <item x="417"/>
        <item x="251"/>
        <item x="773"/>
        <item x="414"/>
        <item x="424"/>
        <item x="742"/>
        <item x="778"/>
        <item x="864"/>
        <item x="133"/>
        <item x="776"/>
        <item x="912"/>
        <item x="423"/>
        <item x="736"/>
        <item x="191"/>
        <item x="1101"/>
        <item x="897"/>
        <item x="840"/>
        <item x="908"/>
        <item x="1076"/>
        <item x="841"/>
        <item x="738"/>
        <item x="836"/>
        <item x="824"/>
        <item x="909"/>
        <item x="810"/>
        <item x="812"/>
        <item x="1376"/>
        <item x="213"/>
        <item x="920"/>
        <item x="910"/>
        <item x="1215"/>
        <item x="903"/>
        <item x="320"/>
        <item x="37"/>
        <item x="226"/>
        <item x="214"/>
        <item x="890"/>
        <item x="159"/>
        <item x="515"/>
        <item x="253"/>
        <item x="231"/>
        <item x="1100"/>
        <item x="1104"/>
        <item x="752"/>
        <item x="695"/>
        <item x="698"/>
        <item x="300"/>
        <item x="252"/>
        <item x="196"/>
        <item x="194"/>
        <item x="674"/>
        <item x="1284"/>
        <item x="490"/>
        <item x="811"/>
        <item x="814"/>
        <item x="770"/>
        <item x="709"/>
        <item x="750"/>
        <item x="1295"/>
        <item x="1296"/>
        <item x="172"/>
        <item x="181"/>
        <item x="190"/>
        <item x="366"/>
        <item x="371"/>
        <item x="358"/>
        <item x="372"/>
        <item x="340"/>
        <item x="326"/>
        <item x="435"/>
        <item x="382"/>
        <item x="981"/>
        <item x="919"/>
        <item x="381"/>
        <item x="327"/>
        <item x="716"/>
        <item x="845"/>
        <item x="431"/>
        <item x="103"/>
        <item x="337"/>
        <item x="9"/>
        <item x="204"/>
        <item x="449"/>
        <item x="387"/>
        <item x="684"/>
        <item x="216"/>
        <item x="206"/>
        <item x="349"/>
        <item x="223"/>
        <item x="399"/>
        <item x="221"/>
        <item x="225"/>
        <item x="235"/>
        <item x="720"/>
        <item x="352"/>
        <item x="237"/>
        <item x="242"/>
        <item x="297"/>
        <item x="422"/>
        <item x="302"/>
        <item x="1069"/>
        <item x="363"/>
        <item x="1276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2036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t="default"/>
      </items>
    </pivotField>
    <pivotField compact="0" showAll="0">
      <items count="2056">
        <item x="7"/>
        <item x="195"/>
        <item x="805"/>
        <item x="761"/>
        <item x="835"/>
        <item x="162"/>
        <item x="703"/>
        <item x="746"/>
        <item x="160"/>
        <item x="804"/>
        <item x="206"/>
        <item x="289"/>
        <item x="94"/>
        <item x="1357"/>
        <item x="1352"/>
        <item x="711"/>
        <item x="834"/>
        <item x="760"/>
        <item x="161"/>
        <item x="1068"/>
        <item x="114"/>
        <item x="704"/>
        <item x="555"/>
        <item x="778"/>
        <item x="1379"/>
        <item x="181"/>
        <item x="43"/>
        <item x="762"/>
        <item x="518"/>
        <item x="882"/>
        <item x="657"/>
        <item x="1318"/>
        <item x="1086"/>
        <item x="1269"/>
        <item x="950"/>
        <item x="204"/>
        <item x="1354"/>
        <item x="1353"/>
        <item x="903"/>
        <item x="1088"/>
        <item x="893"/>
        <item x="874"/>
        <item x="884"/>
        <item x="876"/>
        <item x="1330"/>
        <item x="59"/>
        <item x="1350"/>
        <item x="288"/>
        <item x="606"/>
        <item x="1397"/>
        <item x="32"/>
        <item x="976"/>
        <item x="1410"/>
        <item x="1358"/>
        <item x="1356"/>
        <item x="1351"/>
        <item x="60"/>
        <item x="62"/>
        <item x="611"/>
        <item x="949"/>
        <item x="940"/>
        <item x="604"/>
        <item x="93"/>
        <item x="1404"/>
        <item x="791"/>
        <item x="724"/>
        <item x="44"/>
        <item x="556"/>
        <item x="554"/>
        <item x="113"/>
        <item x="115"/>
        <item x="824"/>
        <item x="836"/>
        <item x="1267"/>
        <item x="752"/>
        <item x="815"/>
        <item x="1317"/>
        <item x="286"/>
        <item x="280"/>
        <item x="565"/>
        <item x="550"/>
        <item x="482"/>
        <item x="529"/>
        <item x="1268"/>
        <item x="818"/>
        <item x="108"/>
        <item x="274"/>
        <item x="697"/>
        <item x="1196"/>
        <item x="1207"/>
        <item x="1370"/>
        <item x="1029"/>
        <item x="1034"/>
        <item x="1171"/>
        <item x="58"/>
        <item x="1316"/>
        <item x="1380"/>
        <item x="507"/>
        <item x="645"/>
        <item x="1"/>
        <item x="134"/>
        <item x="61"/>
        <item x="594"/>
        <item x="98"/>
        <item x="139"/>
        <item x="1167"/>
        <item x="45"/>
        <item x="138"/>
        <item x="545"/>
        <item x="528"/>
        <item x="1010"/>
        <item x="658"/>
        <item x="656"/>
        <item x="655"/>
        <item x="512"/>
        <item x="769"/>
        <item x="1270"/>
        <item x="505"/>
        <item x="1169"/>
        <item x="557"/>
        <item x="239"/>
        <item x="753"/>
        <item x="0"/>
        <item x="1396"/>
        <item x="1069"/>
        <item x="1062"/>
        <item x="112"/>
        <item x="765"/>
        <item x="1206"/>
        <item x="766"/>
        <item x="1111"/>
        <item x="1411"/>
        <item x="1412"/>
        <item x="105"/>
        <item x="1332"/>
        <item x="1387"/>
        <item x="706"/>
        <item x="829"/>
        <item x="1403"/>
        <item x="828"/>
        <item x="1386"/>
        <item x="6"/>
        <item x="5"/>
        <item x="1364"/>
        <item x="1094"/>
        <item x="1339"/>
        <item x="1349"/>
        <item x="1348"/>
        <item x="780"/>
        <item x="1195"/>
        <item x="1335"/>
        <item x="1409"/>
        <item x="1378"/>
        <item x="1189"/>
        <item x="76"/>
        <item x="1395"/>
        <item x="1394"/>
        <item x="1087"/>
        <item x="751"/>
        <item x="1369"/>
        <item x="822"/>
        <item x="57"/>
        <item x="997"/>
        <item x="1344"/>
        <item x="56"/>
        <item x="833"/>
        <item x="1085"/>
        <item x="273"/>
        <item x="832"/>
        <item x="1084"/>
        <item x="755"/>
        <item x="1180"/>
        <item x="539"/>
        <item x="1347"/>
        <item x="333"/>
        <item x="1346"/>
        <item x="1035"/>
        <item x="1194"/>
        <item x="63"/>
        <item x="1179"/>
        <item x="1398"/>
        <item x="272"/>
        <item x="1359"/>
        <item x="568"/>
        <item x="1028"/>
        <item x="814"/>
        <item x="1110"/>
        <item x="813"/>
        <item x="840"/>
        <item x="225"/>
        <item x="1109"/>
        <item x="1032"/>
        <item x="812"/>
        <item x="1178"/>
        <item x="1108"/>
        <item x="786"/>
        <item x="1331"/>
        <item x="719"/>
        <item x="193"/>
        <item x="1355"/>
        <item x="649"/>
        <item x="796"/>
        <item x="795"/>
        <item x="2"/>
        <item x="271"/>
        <item x="270"/>
        <item x="1177"/>
        <item x="1188"/>
        <item x="1329"/>
        <item x="1193"/>
        <item x="1192"/>
        <item x="788"/>
        <item x="1338"/>
        <item x="1337"/>
        <item x="1328"/>
        <item x="1134"/>
        <item x="1319"/>
        <item x="1027"/>
        <item x="1187"/>
        <item x="758"/>
        <item x="1327"/>
        <item x="1325"/>
        <item x="998"/>
        <item x="951"/>
        <item x="996"/>
        <item x="1324"/>
        <item x="1036"/>
        <item x="1326"/>
        <item x="1033"/>
        <item x="163"/>
        <item x="1176"/>
        <item x="290"/>
        <item x="798"/>
        <item x="259"/>
        <item x="1059"/>
        <item x="1026"/>
        <item x="1186"/>
        <item x="712"/>
        <item x="668"/>
        <item x="661"/>
        <item x="790"/>
        <item x="659"/>
        <item x="694"/>
        <item x="1185"/>
        <item x="1172"/>
        <item x="745"/>
        <item x="1175"/>
        <item x="542"/>
        <item x="1058"/>
        <item x="1025"/>
        <item x="691"/>
        <item x="106"/>
        <item x="107"/>
        <item x="1174"/>
        <item x="1184"/>
        <item x="1181"/>
        <item x="1205"/>
        <item x="1057"/>
        <item x="285"/>
        <item x="1024"/>
        <item x="1056"/>
        <item x="690"/>
        <item x="664"/>
        <item x="1204"/>
        <item x="275"/>
        <item x="124"/>
        <item x="1197"/>
        <item x="279"/>
        <item x="1182"/>
        <item x="1203"/>
        <item x="1202"/>
        <item x="1201"/>
        <item x="632"/>
        <item x="1183"/>
        <item x="1200"/>
        <item x="1050"/>
        <item x="284"/>
        <item x="564"/>
        <item x="1173"/>
        <item x="1023"/>
        <item x="532"/>
        <item x="1055"/>
        <item x="1022"/>
        <item x="686"/>
        <item x="747"/>
        <item x="687"/>
        <item x="574"/>
        <item x="573"/>
        <item x="676"/>
        <item x="242"/>
        <item x="1054"/>
        <item x="759"/>
        <item x="52"/>
        <item x="563"/>
        <item x="530"/>
        <item x="233"/>
        <item x="51"/>
        <item x="1049"/>
        <item x="757"/>
        <item x="1021"/>
        <item x="1048"/>
        <item x="1053"/>
        <item x="281"/>
        <item x="588"/>
        <item x="232"/>
        <item x="587"/>
        <item x="1052"/>
        <item x="586"/>
        <item x="1047"/>
        <item x="585"/>
        <item x="231"/>
        <item x="802"/>
        <item x="1046"/>
        <item x="592"/>
        <item x="123"/>
        <item x="591"/>
        <item x="226"/>
        <item x="122"/>
        <item x="121"/>
        <item x="675"/>
        <item x="230"/>
        <item x="1020"/>
        <item x="602"/>
        <item x="603"/>
        <item x="601"/>
        <item x="517"/>
        <item x="600"/>
        <item x="549"/>
        <item x="644"/>
        <item x="1051"/>
        <item x="552"/>
        <item x="1045"/>
        <item x="616"/>
        <item x="1019"/>
        <item x="562"/>
        <item x="994"/>
        <item x="808"/>
        <item x="807"/>
        <item x="1044"/>
        <item x="534"/>
        <item x="650"/>
        <item x="1018"/>
        <item x="605"/>
        <item x="648"/>
        <item x="647"/>
        <item x="1038"/>
        <item x="120"/>
        <item x="119"/>
        <item x="1041"/>
        <item x="1043"/>
        <item x="1042"/>
        <item x="1017"/>
        <item x="1015"/>
        <item x="31"/>
        <item x="30"/>
        <item x="1064"/>
        <item x="610"/>
        <item x="609"/>
        <item x="1063"/>
        <item x="615"/>
        <item x="159"/>
        <item x="608"/>
        <item x="519"/>
        <item x="612"/>
        <item x="1089"/>
        <item x="194"/>
        <item x="20"/>
        <item x="777"/>
        <item x="772"/>
        <item x="674"/>
        <item x="228"/>
        <item x="771"/>
        <item x="776"/>
        <item x="673"/>
        <item x="770"/>
        <item x="774"/>
        <item x="137"/>
        <item x="633"/>
        <item x="1093"/>
        <item x="133"/>
        <item x="69"/>
        <item x="68"/>
        <item x="1083"/>
        <item x="672"/>
        <item x="671"/>
        <item x="578"/>
        <item x="143"/>
        <item x="142"/>
        <item x="131"/>
        <item x="638"/>
        <item x="775"/>
        <item x="576"/>
        <item x="1092"/>
        <item x="1082"/>
        <item x="637"/>
        <item x="636"/>
        <item x="781"/>
        <item x="779"/>
        <item x="75"/>
        <item x="74"/>
        <item x="1067"/>
        <item x="883"/>
        <item x="1066"/>
        <item x="970"/>
        <item x="969"/>
        <item x="698"/>
        <item x="975"/>
        <item x="1292"/>
        <item x="968"/>
        <item x="967"/>
        <item x="702"/>
        <item x="1061"/>
        <item x="701"/>
        <item x="700"/>
        <item x="966"/>
        <item x="1060"/>
        <item x="1107"/>
        <item x="1106"/>
        <item x="965"/>
        <item x="964"/>
        <item x="948"/>
        <item x="1168"/>
        <item x="954"/>
        <item x="1170"/>
        <item x="963"/>
        <item x="962"/>
        <item x="947"/>
        <item x="946"/>
        <item x="945"/>
        <item x="944"/>
        <item x="943"/>
        <item x="942"/>
        <item x="939"/>
        <item x="941"/>
        <item x="1157"/>
        <item x="938"/>
        <item x="937"/>
        <item x="35"/>
        <item x="936"/>
        <item x="935"/>
        <item x="192"/>
        <item x="934"/>
        <item x="933"/>
        <item x="97"/>
        <item x="743"/>
        <item x="744"/>
        <item x="91"/>
        <item x="92"/>
        <item x="544"/>
        <item x="104"/>
        <item x="1209"/>
        <item x="1208"/>
        <item x="1266"/>
        <item x="525"/>
        <item x="823"/>
        <item x="821"/>
        <item x="1265"/>
        <item x="1264"/>
        <item x="816"/>
        <item x="1263"/>
        <item x="1262"/>
        <item x="652"/>
        <item x="651"/>
        <item x="1261"/>
        <item x="1081"/>
        <item x="527"/>
        <item x="65"/>
        <item x="64"/>
        <item x="4"/>
        <item x="1080"/>
        <item x="531"/>
        <item x="619"/>
        <item x="50"/>
        <item x="3"/>
        <item x="533"/>
        <item x="29"/>
        <item x="535"/>
        <item x="538"/>
        <item x="1133"/>
        <item x="171"/>
        <item x="1132"/>
        <item x="1135"/>
        <item x="306"/>
        <item x="614"/>
        <item x="1315"/>
        <item x="1131"/>
        <item x="540"/>
        <item x="1130"/>
        <item x="42"/>
        <item x="41"/>
        <item x="55"/>
        <item x="54"/>
        <item x="1129"/>
        <item x="1128"/>
        <item x="149"/>
        <item x="684"/>
        <item x="1336"/>
        <item x="1127"/>
        <item x="1126"/>
        <item x="1125"/>
        <item x="584"/>
        <item x="881"/>
        <item x="875"/>
        <item x="1124"/>
        <item x="880"/>
        <item x="307"/>
        <item x="1123"/>
        <item x="1122"/>
        <item x="111"/>
        <item x="1121"/>
        <item x="110"/>
        <item x="879"/>
        <item x="283"/>
        <item x="956"/>
        <item x="1345"/>
        <item x="67"/>
        <item x="66"/>
        <item x="1388"/>
        <item x="1191"/>
        <item x="1031"/>
        <item x="109"/>
        <item x="898"/>
        <item x="183"/>
        <item x="184"/>
        <item x="1190"/>
        <item x="1030"/>
        <item x="897"/>
        <item x="902"/>
        <item x="901"/>
        <item x="896"/>
        <item x="646"/>
        <item x="714"/>
        <item x="873"/>
        <item x="895"/>
        <item x="894"/>
        <item x="1323"/>
        <item x="203"/>
        <item x="572"/>
        <item x="1071"/>
        <item x="49"/>
        <item x="48"/>
        <item x="892"/>
        <item x="891"/>
        <item x="1408"/>
        <item x="1322"/>
        <item x="890"/>
        <item x="278"/>
        <item x="144"/>
        <item x="506"/>
        <item x="1040"/>
        <item x="889"/>
        <item x="1039"/>
        <item x="1407"/>
        <item x="855"/>
        <item x="141"/>
        <item x="140"/>
        <item x="662"/>
        <item x="1377"/>
        <item x="1199"/>
        <item x="1376"/>
        <item x="1198"/>
        <item x="1231"/>
        <item x="1236"/>
        <item x="561"/>
        <item x="728"/>
        <item x="73"/>
        <item x="1098"/>
        <item x="72"/>
        <item x="212"/>
        <item x="731"/>
        <item x="723"/>
        <item x="210"/>
        <item x="258"/>
        <item x="1385"/>
        <item x="1384"/>
        <item x="117"/>
        <item x="754"/>
        <item x="569"/>
        <item x="663"/>
        <item x="479"/>
        <item x="481"/>
        <item x="291"/>
        <item x="654"/>
        <item x="867"/>
        <item x="653"/>
        <item x="136"/>
        <item x="571"/>
        <item x="135"/>
        <item x="720"/>
        <item x="1406"/>
        <item x="1405"/>
        <item x="660"/>
        <item x="826"/>
        <item x="629"/>
        <item x="221"/>
        <item x="705"/>
        <item x="885"/>
        <item x="827"/>
        <item x="825"/>
        <item x="1402"/>
        <item x="803"/>
        <item x="1401"/>
        <item x="566"/>
        <item x="282"/>
        <item x="551"/>
        <item x="276"/>
        <item x="240"/>
        <item x="167"/>
        <item x="800"/>
        <item x="164"/>
        <item x="560"/>
        <item x="548"/>
        <item x="801"/>
        <item x="799"/>
        <item x="553"/>
        <item x="1393"/>
        <item x="900"/>
        <item x="797"/>
        <item x="789"/>
        <item x="190"/>
        <item x="793"/>
        <item x="1235"/>
        <item x="1234"/>
        <item x="974"/>
        <item x="785"/>
        <item x="973"/>
        <item x="1343"/>
        <item x="784"/>
        <item x="783"/>
        <item x="787"/>
        <item x="1342"/>
        <item x="794"/>
        <item x="792"/>
        <item x="782"/>
        <item x="1166"/>
        <item x="1165"/>
        <item x="1240"/>
        <item x="1164"/>
        <item x="1163"/>
        <item x="509"/>
        <item x="224"/>
        <item x="1248"/>
        <item x="666"/>
        <item x="665"/>
        <item x="696"/>
        <item x="695"/>
        <item x="269"/>
        <item x="1368"/>
        <item x="1400"/>
        <item x="1399"/>
        <item x="1383"/>
        <item x="1367"/>
        <item x="24"/>
        <item x="1382"/>
        <item x="1381"/>
        <item x="151"/>
        <item x="1120"/>
        <item x="618"/>
        <item x="130"/>
        <item x="1363"/>
        <item x="40"/>
        <item x="39"/>
        <item x="96"/>
        <item x="11"/>
        <item x="1362"/>
        <item x="631"/>
        <item x="148"/>
        <item x="147"/>
        <item x="837"/>
        <item x="1392"/>
        <item x="132"/>
        <item x="1391"/>
        <item x="961"/>
        <item x="607"/>
        <item x="960"/>
        <item x="484"/>
        <item x="1260"/>
        <item x="595"/>
        <item x="28"/>
        <item x="27"/>
        <item x="47"/>
        <item x="593"/>
        <item x="46"/>
        <item x="641"/>
        <item x="643"/>
        <item x="685"/>
        <item x="513"/>
        <item x="1321"/>
        <item x="1320"/>
        <item x="613"/>
        <item x="1105"/>
        <item x="1016"/>
        <item x="1013"/>
        <item x="543"/>
        <item x="1014"/>
        <item x="180"/>
        <item x="1011"/>
        <item x="156"/>
        <item x="640"/>
        <item x="1104"/>
        <item x="541"/>
        <item x="158"/>
        <item x="71"/>
        <item x="70"/>
        <item x="1079"/>
        <item x="1119"/>
        <item x="1118"/>
        <item x="1117"/>
        <item x="1116"/>
        <item x="670"/>
        <item x="1012"/>
        <item x="1009"/>
        <item x="1115"/>
        <item x="819"/>
        <item x="993"/>
        <item x="1230"/>
        <item x="1114"/>
        <item x="1008"/>
        <item x="209"/>
        <item x="1229"/>
        <item x="1112"/>
        <item x="1113"/>
        <item x="820"/>
        <item x="817"/>
        <item x="1361"/>
        <item x="1360"/>
        <item x="1007"/>
        <item x="642"/>
        <item x="639"/>
        <item x="1006"/>
        <item x="669"/>
        <item x="1366"/>
        <item x="1365"/>
        <item x="1005"/>
        <item x="995"/>
        <item x="1259"/>
        <item x="305"/>
        <item x="312"/>
        <item x="1002"/>
        <item x="1004"/>
        <item x="1091"/>
        <item x="1003"/>
        <item x="1090"/>
        <item x="959"/>
        <item x="958"/>
        <item x="693"/>
        <item x="103"/>
        <item x="102"/>
        <item x="82"/>
        <item x="1244"/>
        <item x="268"/>
        <item x="1037"/>
        <item x="202"/>
        <item x="504"/>
        <item x="201"/>
        <item x="200"/>
        <item x="34"/>
        <item x="1239"/>
        <item x="1238"/>
        <item x="1237"/>
        <item x="1334"/>
        <item x="1333"/>
        <item x="170"/>
        <item x="308"/>
        <item x="590"/>
        <item x="583"/>
        <item x="511"/>
        <item x="520"/>
        <item x="1341"/>
        <item x="1340"/>
        <item x="1228"/>
        <item x="1227"/>
        <item x="175"/>
        <item x="1233"/>
        <item x="1232"/>
        <item x="929"/>
        <item x="77"/>
        <item x="599"/>
        <item x="707"/>
        <item x="888"/>
        <item x="53"/>
        <item x="713"/>
        <item x="710"/>
        <item x="831"/>
        <item x="21"/>
        <item x="559"/>
        <item x="23"/>
        <item x="25"/>
        <item x="277"/>
        <item x="537"/>
        <item x="972"/>
        <item x="971"/>
        <item x="1390"/>
        <item x="1389"/>
        <item x="8"/>
        <item x="953"/>
        <item x="952"/>
        <item x="19"/>
        <item x="582"/>
        <item x="38"/>
        <item x="37"/>
        <item x="871"/>
        <item x="866"/>
        <item x="865"/>
        <item x="870"/>
        <item x="839"/>
        <item x="878"/>
        <item x="459"/>
        <item x="196"/>
        <item x="617"/>
        <item x="768"/>
        <item x="763"/>
        <item x="146"/>
        <item x="145"/>
        <item x="116"/>
        <item x="567"/>
        <item x="262"/>
        <item x="756"/>
        <item x="721"/>
        <item x="722"/>
        <item x="589"/>
        <item x="730"/>
        <item x="729"/>
        <item x="764"/>
        <item x="260"/>
        <item x="598"/>
        <item x="1151"/>
        <item x="546"/>
        <item x="1156"/>
        <item x="1162"/>
        <item x="1220"/>
        <item x="1219"/>
        <item x="1225"/>
        <item x="682"/>
        <item x="1218"/>
        <item x="558"/>
        <item x="856"/>
        <item x="577"/>
        <item x="999"/>
        <item x="1217"/>
        <item x="1078"/>
        <item x="579"/>
        <item x="575"/>
        <item x="1216"/>
        <item x="238"/>
        <item x="166"/>
        <item x="165"/>
        <item x="1215"/>
        <item x="95"/>
        <item x="1214"/>
        <item x="241"/>
        <item x="1213"/>
        <item x="1212"/>
        <item x="1077"/>
        <item x="168"/>
        <item x="99"/>
        <item x="101"/>
        <item x="1375"/>
        <item x="81"/>
        <item x="1374"/>
        <item x="80"/>
        <item x="1097"/>
        <item x="635"/>
        <item x="243"/>
        <item x="1150"/>
        <item x="1149"/>
        <item x="153"/>
        <item x="155"/>
        <item x="1148"/>
        <item x="516"/>
        <item x="1103"/>
        <item x="118"/>
        <item x="125"/>
        <item x="1147"/>
        <item x="1146"/>
        <item x="1144"/>
        <item x="1145"/>
        <item x="838"/>
        <item x="1070"/>
        <item x="1247"/>
        <item x="957"/>
        <item x="955"/>
        <item x="1072"/>
        <item x="478"/>
        <item x="1246"/>
        <item x="480"/>
        <item x="129"/>
        <item x="830"/>
        <item x="128"/>
        <item x="1241"/>
        <item x="483"/>
        <item x="1373"/>
        <item x="1372"/>
        <item x="1371"/>
        <item x="1245"/>
        <item x="1243"/>
        <item x="699"/>
        <item x="1258"/>
        <item x="1257"/>
        <item x="85"/>
        <item x="1256"/>
        <item x="628"/>
        <item x="1255"/>
        <item x="634"/>
        <item x="524"/>
        <item x="1249"/>
        <item x="523"/>
        <item x="1252"/>
        <item x="1254"/>
        <item x="1253"/>
        <item x="347"/>
        <item x="157"/>
        <item x="1210"/>
        <item x="773"/>
        <item x="526"/>
        <item x="624"/>
        <item x="627"/>
        <item x="630"/>
        <item x="36"/>
        <item x="33"/>
        <item x="806"/>
        <item x="486"/>
        <item x="620"/>
        <item x="26"/>
        <item x="22"/>
        <item x="1136"/>
        <item x="1143"/>
        <item x="1155"/>
        <item x="267"/>
        <item x="1154"/>
        <item x="311"/>
        <item x="90"/>
        <item x="10"/>
        <item x="257"/>
        <item x="1001"/>
        <item x="13"/>
        <item x="1224"/>
        <item x="1223"/>
        <item x="313"/>
        <item x="1095"/>
        <item x="536"/>
        <item x="309"/>
        <item x="749"/>
        <item x="191"/>
        <item x="83"/>
        <item x="1161"/>
        <item x="174"/>
        <item x="1160"/>
        <item x="750"/>
        <item x="887"/>
        <item x="748"/>
        <item x="886"/>
        <item x="689"/>
        <item x="692"/>
        <item x="1142"/>
        <item x="1141"/>
        <item x="477"/>
        <item x="726"/>
        <item x="87"/>
        <item x="178"/>
        <item x="869"/>
        <item x="727"/>
        <item x="725"/>
        <item x="508"/>
        <item x="868"/>
        <item x="626"/>
        <item x="431"/>
        <item x="877"/>
        <item x="176"/>
        <item x="1076"/>
        <item x="1226"/>
        <item x="1075"/>
        <item x="570"/>
        <item x="872"/>
        <item x="597"/>
        <item x="169"/>
        <item x="318"/>
        <item x="857"/>
        <item x="858"/>
        <item x="854"/>
        <item x="853"/>
        <item x="852"/>
        <item x="261"/>
        <item x="810"/>
        <item x="742"/>
        <item x="547"/>
        <item x="1140"/>
        <item x="1139"/>
        <item x="767"/>
        <item x="688"/>
        <item x="79"/>
        <item x="78"/>
        <item x="264"/>
        <item x="1251"/>
        <item x="1250"/>
        <item x="716"/>
        <item x="718"/>
        <item x="811"/>
        <item x="809"/>
        <item x="904"/>
        <item x="732"/>
        <item x="150"/>
        <item x="497"/>
        <item x="899"/>
        <item x="152"/>
        <item x="208"/>
        <item x="154"/>
        <item x="12"/>
        <item x="89"/>
        <item x="207"/>
        <item x="205"/>
        <item x="736"/>
        <item x="127"/>
        <item x="126"/>
        <item x="596"/>
        <item x="912"/>
        <item x="514"/>
        <item x="683"/>
        <item x="680"/>
        <item x="503"/>
        <item x="1291"/>
        <item x="1290"/>
        <item x="1289"/>
        <item x="1288"/>
        <item x="1308"/>
        <item x="1307"/>
        <item x="1309"/>
        <item x="992"/>
        <item x="1314"/>
        <item x="1287"/>
        <item x="310"/>
        <item x="991"/>
        <item x="1286"/>
        <item x="990"/>
        <item x="1281"/>
        <item x="1285"/>
        <item x="1284"/>
        <item x="932"/>
        <item x="931"/>
        <item x="989"/>
        <item x="988"/>
        <item x="1102"/>
        <item x="987"/>
        <item x="985"/>
        <item x="1242"/>
        <item x="1099"/>
        <item x="1101"/>
        <item x="1153"/>
        <item x="1152"/>
        <item x="86"/>
        <item x="84"/>
        <item x="317"/>
        <item x="1306"/>
        <item x="926"/>
        <item x="1305"/>
        <item x="925"/>
        <item x="1000"/>
        <item x="928"/>
        <item x="1222"/>
        <item x="1221"/>
        <item x="930"/>
        <item x="223"/>
        <item x="222"/>
        <item x="1211"/>
        <item x="510"/>
        <item x="182"/>
        <item x="185"/>
        <item x="1159"/>
        <item x="1158"/>
        <item x="623"/>
        <item x="622"/>
        <item x="1074"/>
        <item x="1073"/>
        <item x="625"/>
        <item x="581"/>
        <item x="9"/>
        <item x="18"/>
        <item x="621"/>
        <item x="100"/>
        <item x="476"/>
        <item x="14"/>
        <item x="266"/>
        <item x="709"/>
        <item x="708"/>
        <item x="173"/>
        <item x="172"/>
        <item x="521"/>
        <item x="468"/>
        <item x="580"/>
        <item x="859"/>
        <item x="460"/>
        <item x="304"/>
        <item x="303"/>
        <item x="302"/>
        <item x="301"/>
        <item x="462"/>
        <item x="300"/>
        <item x="299"/>
        <item x="315"/>
        <item x="493"/>
        <item x="496"/>
        <item x="864"/>
        <item x="265"/>
        <item x="263"/>
        <item x="909"/>
        <item x="667"/>
        <item x="332"/>
        <item x="1138"/>
        <item x="1137"/>
        <item x="515"/>
        <item x="177"/>
        <item x="179"/>
        <item x="1283"/>
        <item x="1282"/>
        <item x="88"/>
        <item x="733"/>
        <item x="220"/>
        <item x="348"/>
        <item x="485"/>
        <item x="189"/>
        <item x="188"/>
        <item x="740"/>
        <item x="841"/>
        <item x="186"/>
        <item x="735"/>
        <item x="737"/>
        <item x="1313"/>
        <item x="1312"/>
        <item x="256"/>
        <item x="977"/>
        <item x="237"/>
        <item x="502"/>
        <item x="681"/>
        <item x="678"/>
        <item x="214"/>
        <item x="319"/>
        <item x="1100"/>
        <item x="1096"/>
        <item x="475"/>
        <item x="1304"/>
        <item x="440"/>
        <item x="298"/>
        <item x="469"/>
        <item x="1303"/>
        <item x="1302"/>
        <item x="461"/>
        <item x="471"/>
        <item x="862"/>
        <item x="463"/>
        <item x="316"/>
        <item x="314"/>
        <item x="465"/>
        <item x="495"/>
        <item x="429"/>
        <item x="494"/>
        <item x="345"/>
        <item x="445"/>
        <item x="863"/>
        <item x="467"/>
        <item x="861"/>
        <item x="244"/>
        <item x="1311"/>
        <item x="1310"/>
        <item x="15"/>
        <item x="334"/>
        <item x="331"/>
        <item x="433"/>
        <item x="498"/>
        <item x="979"/>
        <item x="851"/>
        <item x="921"/>
        <item x="927"/>
        <item x="487"/>
        <item x="488"/>
        <item x="848"/>
        <item x="906"/>
        <item x="850"/>
        <item x="849"/>
        <item x="455"/>
        <item x="911"/>
        <item x="905"/>
        <item x="846"/>
        <item x="741"/>
        <item x="986"/>
        <item x="457"/>
        <item x="845"/>
        <item x="847"/>
        <item x="844"/>
        <item x="983"/>
        <item x="739"/>
        <item x="843"/>
        <item x="842"/>
        <item x="255"/>
        <item x="924"/>
        <item x="984"/>
        <item x="981"/>
        <item x="923"/>
        <item x="522"/>
        <item x="17"/>
        <item x="16"/>
        <item x="910"/>
        <item x="492"/>
        <item x="330"/>
        <item x="297"/>
        <item x="679"/>
        <item x="677"/>
        <item x="341"/>
        <item x="908"/>
        <item x="470"/>
        <item x="472"/>
        <item x="474"/>
        <item x="464"/>
        <item x="466"/>
        <item x="860"/>
        <item x="439"/>
        <item x="441"/>
        <item x="499"/>
        <item x="250"/>
        <item x="489"/>
        <item x="219"/>
        <item x="1301"/>
        <item x="1300"/>
        <item x="982"/>
        <item x="980"/>
        <item x="501"/>
        <item x="734"/>
        <item x="1293"/>
        <item x="978"/>
        <item x="738"/>
        <item x="227"/>
        <item x="491"/>
        <item x="329"/>
        <item x="434"/>
        <item x="296"/>
        <item x="458"/>
        <item x="473"/>
        <item x="335"/>
        <item x="344"/>
        <item x="432"/>
        <item x="213"/>
        <item x="1299"/>
        <item x="1298"/>
        <item x="187"/>
        <item x="211"/>
        <item x="199"/>
        <item x="198"/>
        <item x="236"/>
        <item x="438"/>
        <item x="922"/>
        <item x="717"/>
        <item x="715"/>
        <item x="442"/>
        <item x="913"/>
        <item x="456"/>
        <item x="454"/>
        <item x="245"/>
        <item x="490"/>
        <item x="254"/>
        <item x="253"/>
        <item x="500"/>
        <item x="907"/>
        <item x="915"/>
        <item x="920"/>
        <item x="919"/>
        <item x="343"/>
        <item x="342"/>
        <item x="336"/>
        <item x="1297"/>
        <item x="1296"/>
        <item x="1295"/>
        <item x="1294"/>
        <item x="436"/>
        <item x="197"/>
        <item x="328"/>
        <item x="249"/>
        <item x="287"/>
        <item x="435"/>
        <item x="437"/>
        <item x="383"/>
        <item x="252"/>
        <item x="443"/>
        <item x="320"/>
        <item x="295"/>
        <item x="448"/>
        <item x="451"/>
        <item x="450"/>
        <item x="446"/>
        <item x="430"/>
        <item x="229"/>
        <item x="428"/>
        <item x="234"/>
        <item x="235"/>
        <item x="246"/>
        <item x="914"/>
        <item x="916"/>
        <item x="918"/>
        <item x="327"/>
        <item x="1065"/>
        <item x="417"/>
        <item x="248"/>
        <item x="447"/>
        <item x="444"/>
        <item x="449"/>
        <item x="409"/>
        <item x="251"/>
        <item x="453"/>
        <item x="452"/>
        <item x="340"/>
        <item x="292"/>
        <item x="294"/>
        <item x="339"/>
        <item x="215"/>
        <item x="359"/>
        <item x="346"/>
        <item x="247"/>
        <item x="415"/>
        <item x="377"/>
        <item x="917"/>
        <item x="338"/>
        <item x="337"/>
        <item x="293"/>
        <item x="416"/>
        <item x="218"/>
        <item x="408"/>
        <item x="410"/>
        <item x="407"/>
        <item x="321"/>
        <item x="349"/>
        <item x="354"/>
        <item x="353"/>
        <item x="351"/>
        <item x="412"/>
        <item x="358"/>
        <item x="352"/>
        <item x="406"/>
        <item x="217"/>
        <item x="216"/>
        <item x="411"/>
        <item x="394"/>
        <item x="326"/>
        <item x="325"/>
        <item x="324"/>
        <item x="323"/>
        <item x="322"/>
        <item x="405"/>
        <item x="393"/>
        <item x="382"/>
        <item x="392"/>
        <item x="391"/>
        <item x="427"/>
        <item x="350"/>
        <item x="357"/>
        <item x="413"/>
        <item x="384"/>
        <item x="390"/>
        <item x="378"/>
        <item x="414"/>
        <item x="404"/>
        <item x="369"/>
        <item x="403"/>
        <item x="385"/>
        <item x="389"/>
        <item x="355"/>
        <item x="386"/>
        <item x="388"/>
        <item x="376"/>
        <item x="381"/>
        <item x="387"/>
        <item x="402"/>
        <item x="356"/>
        <item x="380"/>
        <item x="426"/>
        <item x="425"/>
        <item x="424"/>
        <item x="418"/>
        <item x="368"/>
        <item x="375"/>
        <item x="374"/>
        <item x="379"/>
        <item x="373"/>
        <item x="395"/>
        <item x="401"/>
        <item x="400"/>
        <item x="399"/>
        <item x="372"/>
        <item x="361"/>
        <item x="396"/>
        <item x="398"/>
        <item x="423"/>
        <item x="367"/>
        <item x="419"/>
        <item x="397"/>
        <item x="362"/>
        <item x="371"/>
        <item x="422"/>
        <item x="421"/>
        <item x="366"/>
        <item x="370"/>
        <item x="420"/>
        <item x="360"/>
        <item x="1273"/>
        <item x="1271"/>
        <item x="1279"/>
        <item x="1278"/>
        <item x="1277"/>
        <item x="1276"/>
        <item x="1275"/>
        <item x="1274"/>
        <item x="1272"/>
        <item x="365"/>
        <item x="364"/>
        <item x="363"/>
        <item x="1280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2054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t="default"/>
      </items>
    </pivotField>
    <pivotField compact="0" showAll="0">
      <items count="126">
        <item x="6"/>
        <item x="17"/>
        <item x="18"/>
        <item x="21"/>
        <item x="5"/>
        <item x="9"/>
        <item x="3"/>
        <item x="22"/>
        <item x="10"/>
        <item x="23"/>
        <item x="26"/>
        <item x="0"/>
        <item x="85"/>
        <item x="20"/>
        <item x="2"/>
        <item x="27"/>
        <item x="33"/>
        <item x="16"/>
        <item x="90"/>
        <item x="91"/>
        <item x="92"/>
        <item x="77"/>
        <item x="76"/>
        <item x="8"/>
        <item x="15"/>
        <item x="35"/>
        <item x="4"/>
        <item x="11"/>
        <item x="48"/>
        <item x="45"/>
        <item x="83"/>
        <item x="7"/>
        <item x="12"/>
        <item x="36"/>
        <item x="72"/>
        <item x="49"/>
        <item x="38"/>
        <item x="14"/>
        <item x="37"/>
        <item x="57"/>
        <item x="24"/>
        <item x="39"/>
        <item x="25"/>
        <item x="75"/>
        <item x="94"/>
        <item x="52"/>
        <item x="40"/>
        <item x="56"/>
        <item x="61"/>
        <item x="73"/>
        <item x="51"/>
        <item x="41"/>
        <item x="31"/>
        <item x="55"/>
        <item x="44"/>
        <item x="50"/>
        <item x="42"/>
        <item x="47"/>
        <item x="43"/>
        <item x="65"/>
        <item x="71"/>
        <item x="58"/>
        <item x="28"/>
        <item x="87"/>
        <item x="88"/>
        <item x="59"/>
        <item x="70"/>
        <item x="81"/>
        <item x="97"/>
        <item x="60"/>
        <item x="74"/>
        <item x="63"/>
        <item x="69"/>
        <item x="96"/>
        <item x="80"/>
        <item x="62"/>
        <item x="84"/>
        <item x="64"/>
        <item x="79"/>
        <item x="95"/>
        <item x="1"/>
        <item x="13"/>
        <item x="67"/>
        <item x="66"/>
        <item x="78"/>
        <item x="68"/>
        <item x="89"/>
        <item x="93"/>
        <item x="82"/>
        <item x="86"/>
        <item x="54"/>
        <item x="19"/>
        <item x="29"/>
        <item x="30"/>
        <item x="53"/>
        <item x="46"/>
        <item x="32"/>
        <item x="34"/>
        <item x="98"/>
        <item x="99"/>
        <item x="100"/>
        <item x="101"/>
        <item x="102"/>
        <item x="124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t="default"/>
      </items>
    </pivotField>
  </pivotFields>
  <rowFields count="1">
    <field x="1"/>
  </rowFields>
  <rowItems count="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 t="grand">
      <x/>
    </i>
  </rowItems>
  <colItems count="1">
    <i/>
  </colItems>
  <dataFields count="1">
    <dataField name="求和项:发生金额" fld="13" baseField="0" baseItem="0"/>
  </dataFields>
  <formats count="42">
    <format dxfId="0">
      <pivotArea dataOnly="0" axis="axisValues" fieldPosition="0"/>
    </format>
    <format dxfId="1">
      <pivotArea collapsedLevelsAreSubtotals="1" fieldPosition="0">
        <references count="1">
          <reference field="1" count="1" selected="0">
            <x v="0"/>
          </reference>
        </references>
      </pivotArea>
    </format>
    <format dxfId="2">
      <pivotArea collapsedLevelsAreSubtotals="1" fieldPosition="0">
        <references count="1">
          <reference field="1" count="1" selected="0">
            <x v="1"/>
          </reference>
        </references>
      </pivotArea>
    </format>
    <format dxfId="3">
      <pivotArea collapsedLevelsAreSubtotals="1" fieldPosition="0">
        <references count="1">
          <reference field="1" count="1" selected="0">
            <x v="2"/>
          </reference>
        </references>
      </pivotArea>
    </format>
    <format dxfId="4">
      <pivotArea collapsedLevelsAreSubtotals="1" fieldPosition="0">
        <references count="1">
          <reference field="1" count="1" selected="0">
            <x v="3"/>
          </reference>
        </references>
      </pivotArea>
    </format>
    <format dxfId="5">
      <pivotArea collapsedLevelsAreSubtotals="1" fieldPosition="0">
        <references count="1">
          <reference field="1" count="1" selected="0">
            <x v="4"/>
          </reference>
        </references>
      </pivotArea>
    </format>
    <format dxfId="6">
      <pivotArea collapsedLevelsAreSubtotals="1" fieldPosition="0">
        <references count="1">
          <reference field="1" count="1" selected="0">
            <x v="5"/>
          </reference>
        </references>
      </pivotArea>
    </format>
    <format dxfId="7">
      <pivotArea collapsedLevelsAreSubtotals="1" fieldPosition="0">
        <references count="1">
          <reference field="1" count="1" selected="0">
            <x v="6"/>
          </reference>
        </references>
      </pivotArea>
    </format>
    <format dxfId="8">
      <pivotArea collapsedLevelsAreSubtotals="1" fieldPosition="0">
        <references count="1">
          <reference field="1" count="1" selected="0">
            <x v="7"/>
          </reference>
        </references>
      </pivotArea>
    </format>
    <format dxfId="9">
      <pivotArea collapsedLevelsAreSubtotals="1" fieldPosition="0">
        <references count="1">
          <reference field="1" count="1" selected="0">
            <x v="8"/>
          </reference>
        </references>
      </pivotArea>
    </format>
    <format dxfId="10">
      <pivotArea collapsedLevelsAreSubtotals="1" fieldPosition="0">
        <references count="1">
          <reference field="1" count="1" selected="0">
            <x v="9"/>
          </reference>
        </references>
      </pivotArea>
    </format>
    <format dxfId="11">
      <pivotArea collapsedLevelsAreSubtotals="1" fieldPosition="0">
        <references count="1">
          <reference field="1" count="1" selected="0">
            <x v="10"/>
          </reference>
        </references>
      </pivotArea>
    </format>
    <format dxfId="12">
      <pivotArea collapsedLevelsAreSubtotals="1" fieldPosition="0">
        <references count="1">
          <reference field="1" count="1" selected="0">
            <x v="11"/>
          </reference>
        </references>
      </pivotArea>
    </format>
    <format dxfId="13">
      <pivotArea collapsedLevelsAreSubtotals="1" fieldPosition="0">
        <references count="1">
          <reference field="1" count="1" selected="0">
            <x v="12"/>
          </reference>
        </references>
      </pivotArea>
    </format>
    <format dxfId="14">
      <pivotArea collapsedLevelsAreSubtotals="1" fieldPosition="0">
        <references count="1">
          <reference field="1" count="1" selected="0">
            <x v="13"/>
          </reference>
        </references>
      </pivotArea>
    </format>
    <format dxfId="15">
      <pivotArea collapsedLevelsAreSubtotals="1" fieldPosition="0">
        <references count="1">
          <reference field="1" count="1" selected="0">
            <x v="14"/>
          </reference>
        </references>
      </pivotArea>
    </format>
    <format dxfId="16">
      <pivotArea collapsedLevelsAreSubtotals="1" fieldPosition="0">
        <references count="1">
          <reference field="1" count="1" selected="0">
            <x v="15"/>
          </reference>
        </references>
      </pivotArea>
    </format>
    <format dxfId="17">
      <pivotArea collapsedLevelsAreSubtotals="1" fieldPosition="0">
        <references count="1">
          <reference field="1" count="1" selected="0">
            <x v="16"/>
          </reference>
        </references>
      </pivotArea>
    </format>
    <format dxfId="18">
      <pivotArea collapsedLevelsAreSubtotals="1" fieldPosition="0">
        <references count="1">
          <reference field="1" count="1" selected="0">
            <x v="17"/>
          </reference>
        </references>
      </pivotArea>
    </format>
    <format dxfId="19">
      <pivotArea collapsedLevelsAreSubtotals="1" fieldPosition="0">
        <references count="1">
          <reference field="1" count="1" selected="0">
            <x v="18"/>
          </reference>
        </references>
      </pivotArea>
    </format>
    <format dxfId="20">
      <pivotArea collapsedLevelsAreSubtotals="1" fieldPosition="0">
        <references count="1">
          <reference field="1" count="1" selected="0">
            <x v="19"/>
          </reference>
        </references>
      </pivotArea>
    </format>
    <format dxfId="21">
      <pivotArea collapsedLevelsAreSubtotals="1" fieldPosition="0">
        <references count="1">
          <reference field="1" count="1" selected="0">
            <x v="20"/>
          </reference>
        </references>
      </pivotArea>
    </format>
    <format dxfId="22">
      <pivotArea collapsedLevelsAreSubtotals="1" fieldPosition="0">
        <references count="1">
          <reference field="1" count="1" selected="0">
            <x v="21"/>
          </reference>
        </references>
      </pivotArea>
    </format>
    <format dxfId="23">
      <pivotArea collapsedLevelsAreSubtotals="1" fieldPosition="0">
        <references count="1">
          <reference field="1" count="1" selected="0">
            <x v="22"/>
          </reference>
        </references>
      </pivotArea>
    </format>
    <format dxfId="24">
      <pivotArea collapsedLevelsAreSubtotals="1" fieldPosition="0">
        <references count="1">
          <reference field="1" count="1" selected="0">
            <x v="23"/>
          </reference>
        </references>
      </pivotArea>
    </format>
    <format dxfId="25">
      <pivotArea collapsedLevelsAreSubtotals="1" fieldPosition="0">
        <references count="1">
          <reference field="1" count="1" selected="0">
            <x v="24"/>
          </reference>
        </references>
      </pivotArea>
    </format>
    <format dxfId="26">
      <pivotArea collapsedLevelsAreSubtotals="1" fieldPosition="0">
        <references count="1">
          <reference field="1" count="1" selected="0">
            <x v="25"/>
          </reference>
        </references>
      </pivotArea>
    </format>
    <format dxfId="27">
      <pivotArea collapsedLevelsAreSubtotals="1" fieldPosition="0">
        <references count="1">
          <reference field="1" count="1" selected="0">
            <x v="26"/>
          </reference>
        </references>
      </pivotArea>
    </format>
    <format dxfId="28">
      <pivotArea collapsedLevelsAreSubtotals="1" fieldPosition="0">
        <references count="1">
          <reference field="1" count="1" selected="0">
            <x v="27"/>
          </reference>
        </references>
      </pivotArea>
    </format>
    <format dxfId="29">
      <pivotArea collapsedLevelsAreSubtotals="1" fieldPosition="0">
        <references count="1">
          <reference field="1" count="1" selected="0">
            <x v="28"/>
          </reference>
        </references>
      </pivotArea>
    </format>
    <format dxfId="30">
      <pivotArea collapsedLevelsAreSubtotals="1" fieldPosition="0">
        <references count="1">
          <reference field="1" count="1" selected="0">
            <x v="29"/>
          </reference>
        </references>
      </pivotArea>
    </format>
    <format dxfId="31">
      <pivotArea collapsedLevelsAreSubtotals="1" fieldPosition="0">
        <references count="1">
          <reference field="1" count="1" selected="0">
            <x v="30"/>
          </reference>
        </references>
      </pivotArea>
    </format>
    <format dxfId="32">
      <pivotArea collapsedLevelsAreSubtotals="1" fieldPosition="0">
        <references count="1">
          <reference field="1" count="1" selected="0">
            <x v="31"/>
          </reference>
        </references>
      </pivotArea>
    </format>
    <format dxfId="33">
      <pivotArea collapsedLevelsAreSubtotals="1" fieldPosition="0">
        <references count="1">
          <reference field="1" count="1" selected="0">
            <x v="32"/>
          </reference>
        </references>
      </pivotArea>
    </format>
    <format dxfId="34">
      <pivotArea collapsedLevelsAreSubtotals="1" fieldPosition="0">
        <references count="1">
          <reference field="1" count="1" selected="0">
            <x v="33"/>
          </reference>
        </references>
      </pivotArea>
    </format>
    <format dxfId="35">
      <pivotArea collapsedLevelsAreSubtotals="1" fieldPosition="0">
        <references count="1">
          <reference field="1" count="1" selected="0">
            <x v="34"/>
          </reference>
        </references>
      </pivotArea>
    </format>
    <format dxfId="36">
      <pivotArea collapsedLevelsAreSubtotals="1" fieldPosition="0">
        <references count="1">
          <reference field="1" count="1" selected="0">
            <x v="35"/>
          </reference>
        </references>
      </pivotArea>
    </format>
    <format dxfId="37">
      <pivotArea collapsedLevelsAreSubtotals="1" fieldPosition="0">
        <references count="1">
          <reference field="1" count="1" selected="0">
            <x v="36"/>
          </reference>
        </references>
      </pivotArea>
    </format>
    <format dxfId="38">
      <pivotArea collapsedLevelsAreSubtotals="1" fieldPosition="0">
        <references count="1">
          <reference field="1" count="1" selected="0">
            <x v="37"/>
          </reference>
        </references>
      </pivotArea>
    </format>
    <format dxfId="39">
      <pivotArea collapsedLevelsAreSubtotals="1" fieldPosition="0">
        <references count="1">
          <reference field="1" count="1" selected="0">
            <x v="38"/>
          </reference>
        </references>
      </pivotArea>
    </format>
    <format dxfId="40">
      <pivotArea collapsedLevelsAreSubtotals="1" fieldPosition="0">
        <references count="1">
          <reference field="1" count="1" selected="0">
            <x v="39"/>
          </reference>
        </references>
      </pivotArea>
    </format>
    <format dxfId="41">
      <pivotArea collapsedLevelsAreSubtotals="1" fieldPosition="0">
        <references count="1">
          <reference field="1" count="1" selected="0">
            <x v="40"/>
          </reference>
        </references>
      </pivotArea>
    </format>
  </formats>
  <pivotTableStyleInfo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52893数据透视表" cacheId="0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D1:E96" firstHeaderRow="1" firstDataRow="1" firstDataCol="1"/>
  <pivotFields count="11">
    <pivotField compact="0" showAll="0">
      <items count="1163"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161"/>
        <item t="default"/>
      </items>
    </pivotField>
    <pivotField compact="0" showAll="0">
      <items count="1122">
        <item x="1057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9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7"/>
        <item x="446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7"/>
        <item x="516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8"/>
        <item x="537"/>
        <item x="540"/>
        <item x="539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253"/>
        <item t="default"/>
      </items>
    </pivotField>
    <pivotField compact="0" showAll="0">
      <items count="47">
        <item x="11"/>
        <item x="10"/>
        <item x="39"/>
        <item x="35"/>
        <item x="40"/>
        <item x="41"/>
        <item x="37"/>
        <item x="44"/>
        <item x="38"/>
        <item x="36"/>
        <item x="12"/>
        <item x="13"/>
        <item x="9"/>
        <item x="22"/>
        <item x="6"/>
        <item x="25"/>
        <item x="21"/>
        <item x="23"/>
        <item x="24"/>
        <item x="20"/>
        <item x="14"/>
        <item x="15"/>
        <item x="17"/>
        <item x="18"/>
        <item x="16"/>
        <item x="19"/>
        <item x="5"/>
        <item x="27"/>
        <item x="26"/>
        <item x="8"/>
        <item x="7"/>
        <item x="29"/>
        <item x="43"/>
        <item x="28"/>
        <item x="42"/>
        <item x="1"/>
        <item x="32"/>
        <item x="33"/>
        <item x="2"/>
        <item x="3"/>
        <item x="4"/>
        <item x="0"/>
        <item x="34"/>
        <item x="31"/>
        <item x="30"/>
        <item x="45"/>
        <item t="default"/>
      </items>
    </pivotField>
    <pivotField axis="axisRow" compact="0" showAll="0">
      <items count="95">
        <item x="82"/>
        <item x="51"/>
        <item x="10"/>
        <item x="39"/>
        <item x="58"/>
        <item x="47"/>
        <item x="62"/>
        <item x="21"/>
        <item x="38"/>
        <item x="91"/>
        <item x="78"/>
        <item x="63"/>
        <item x="43"/>
        <item x="33"/>
        <item x="87"/>
        <item x="4"/>
        <item x="50"/>
        <item x="9"/>
        <item x="40"/>
        <item x="74"/>
        <item x="79"/>
        <item x="84"/>
        <item x="81"/>
        <item x="85"/>
        <item x="55"/>
        <item x="69"/>
        <item x="60"/>
        <item x="67"/>
        <item x="64"/>
        <item x="72"/>
        <item x="14"/>
        <item x="61"/>
        <item x="65"/>
        <item x="70"/>
        <item x="73"/>
        <item x="7"/>
        <item x="8"/>
        <item x="11"/>
        <item x="53"/>
        <item x="52"/>
        <item x="56"/>
        <item x="27"/>
        <item x="19"/>
        <item x="22"/>
        <item x="48"/>
        <item x="66"/>
        <item x="34"/>
        <item x="54"/>
        <item x="28"/>
        <item x="29"/>
        <item x="89"/>
        <item x="77"/>
        <item x="30"/>
        <item x="23"/>
        <item x="35"/>
        <item x="36"/>
        <item x="59"/>
        <item x="88"/>
        <item x="57"/>
        <item x="83"/>
        <item x="26"/>
        <item x="16"/>
        <item x="20"/>
        <item x="71"/>
        <item x="80"/>
        <item x="15"/>
        <item x="45"/>
        <item x="24"/>
        <item x="5"/>
        <item x="41"/>
        <item x="46"/>
        <item x="44"/>
        <item x="6"/>
        <item x="32"/>
        <item x="2"/>
        <item x="86"/>
        <item x="31"/>
        <item x="3"/>
        <item x="37"/>
        <item x="42"/>
        <item x="18"/>
        <item x="17"/>
        <item x="25"/>
        <item x="13"/>
        <item x="12"/>
        <item x="76"/>
        <item x="93"/>
        <item x="68"/>
        <item x="75"/>
        <item x="92"/>
        <item x="0"/>
        <item x="90"/>
        <item x="49"/>
        <item x="1"/>
        <item t="default"/>
      </items>
    </pivotField>
    <pivotField compact="0" showAll="0">
      <items count="101">
        <item x="87"/>
        <item x="85"/>
        <item x="14"/>
        <item x="27"/>
        <item x="47"/>
        <item x="28"/>
        <item x="99"/>
        <item x="55"/>
        <item x="54"/>
        <item x="7"/>
        <item x="8"/>
        <item x="11"/>
        <item x="21"/>
        <item x="78"/>
        <item x="58"/>
        <item x="0"/>
        <item x="23"/>
        <item x="29"/>
        <item x="30"/>
        <item x="31"/>
        <item x="13"/>
        <item x="33"/>
        <item x="42"/>
        <item x="43"/>
        <item x="35"/>
        <item x="36"/>
        <item x="38"/>
        <item x="90"/>
        <item x="2"/>
        <item x="6"/>
        <item x="57"/>
        <item x="16"/>
        <item x="37"/>
        <item x="71"/>
        <item x="74"/>
        <item x="93"/>
        <item x="9"/>
        <item x="92"/>
        <item x="67"/>
        <item x="69"/>
        <item x="19"/>
        <item x="22"/>
        <item x="26"/>
        <item x="39"/>
        <item x="95"/>
        <item x="97"/>
        <item x="66"/>
        <item x="41"/>
        <item x="98"/>
        <item x="32"/>
        <item x="59"/>
        <item x="40"/>
        <item x="94"/>
        <item x="49"/>
        <item x="77"/>
        <item x="79"/>
        <item x="24"/>
        <item x="72"/>
        <item x="76"/>
        <item x="10"/>
        <item x="82"/>
        <item x="68"/>
        <item x="3"/>
        <item x="4"/>
        <item x="12"/>
        <item x="53"/>
        <item x="73"/>
        <item x="20"/>
        <item x="48"/>
        <item x="5"/>
        <item x="45"/>
        <item x="52"/>
        <item x="96"/>
        <item x="80"/>
        <item x="89"/>
        <item x="63"/>
        <item x="46"/>
        <item x="17"/>
        <item x="70"/>
        <item x="81"/>
        <item x="56"/>
        <item x="44"/>
        <item x="91"/>
        <item x="51"/>
        <item x="60"/>
        <item x="75"/>
        <item x="50"/>
        <item x="15"/>
        <item x="62"/>
        <item x="64"/>
        <item x="61"/>
        <item x="86"/>
        <item x="34"/>
        <item x="18"/>
        <item x="83"/>
        <item x="88"/>
        <item x="84"/>
        <item x="25"/>
        <item x="65"/>
        <item x="1"/>
        <item t="default"/>
      </items>
    </pivotField>
    <pivotField compact="0" showAll="0">
      <items count="784">
        <item x="0"/>
        <item x="731"/>
        <item x="742"/>
        <item x="760"/>
        <item x="720"/>
        <item x="779"/>
        <item x="581"/>
        <item x="643"/>
        <item x="712"/>
        <item x="630"/>
        <item x="713"/>
        <item x="633"/>
        <item x="298"/>
        <item x="636"/>
        <item x="641"/>
        <item x="646"/>
        <item x="580"/>
        <item x="645"/>
        <item x="714"/>
        <item x="711"/>
        <item x="471"/>
        <item x="694"/>
        <item x="698"/>
        <item x="600"/>
        <item x="297"/>
        <item x="629"/>
        <item x="634"/>
        <item x="650"/>
        <item x="468"/>
        <item x="571"/>
        <item x="695"/>
        <item x="667"/>
        <item x="668"/>
        <item x="657"/>
        <item x="659"/>
        <item x="673"/>
        <item x="682"/>
        <item x="655"/>
        <item x="671"/>
        <item x="628"/>
        <item x="674"/>
        <item x="669"/>
        <item x="679"/>
        <item x="658"/>
        <item x="318"/>
        <item x="675"/>
        <item x="661"/>
        <item x="505"/>
        <item x="666"/>
        <item x="490"/>
        <item x="492"/>
        <item x="662"/>
        <item x="506"/>
        <item x="486"/>
        <item x="504"/>
        <item x="626"/>
        <item x="495"/>
        <item x="501"/>
        <item x="573"/>
        <item x="496"/>
        <item x="508"/>
        <item x="577"/>
        <item x="576"/>
        <item x="575"/>
        <item x="676"/>
        <item x="574"/>
        <item x="579"/>
        <item x="625"/>
        <item x="680"/>
        <item x="509"/>
        <item x="639"/>
        <item x="632"/>
        <item x="519"/>
        <item x="518"/>
        <item x="511"/>
        <item x="683"/>
        <item x="512"/>
        <item x="510"/>
        <item x="517"/>
        <item x="564"/>
        <item x="516"/>
        <item x="535"/>
        <item x="514"/>
        <item x="561"/>
        <item x="563"/>
        <item x="560"/>
        <item x="610"/>
        <item x="521"/>
        <item x="534"/>
        <item x="522"/>
        <item x="545"/>
        <item x="524"/>
        <item x="546"/>
        <item x="547"/>
        <item x="557"/>
        <item x="532"/>
        <item x="527"/>
        <item x="554"/>
        <item x="552"/>
        <item x="533"/>
        <item x="550"/>
        <item x="528"/>
        <item x="525"/>
        <item x="541"/>
        <item x="456"/>
        <item x="450"/>
        <item x="687"/>
        <item x="467"/>
        <item x="599"/>
        <item x="604"/>
        <item x="688"/>
        <item x="602"/>
        <item x="605"/>
        <item x="616"/>
        <item x="619"/>
        <item x="472"/>
        <item x="207"/>
        <item x="470"/>
        <item x="613"/>
        <item x="485"/>
        <item x="469"/>
        <item x="200"/>
        <item x="453"/>
        <item x="452"/>
        <item x="482"/>
        <item x="585"/>
        <item x="451"/>
        <item x="481"/>
        <item x="477"/>
        <item x="591"/>
        <item x="689"/>
        <item x="478"/>
        <item x="473"/>
        <item x="461"/>
        <item x="203"/>
        <item x="184"/>
        <item x="199"/>
        <item x="464"/>
        <item x="202"/>
        <item x="590"/>
        <item x="206"/>
        <item x="210"/>
        <item x="476"/>
        <item x="180"/>
        <item x="222"/>
        <item x="182"/>
        <item x="465"/>
        <item x="228"/>
        <item x="463"/>
        <item x="761"/>
        <item x="759"/>
        <item x="462"/>
        <item x="186"/>
        <item x="173"/>
        <item x="175"/>
        <item x="762"/>
        <item x="562"/>
        <item x="757"/>
        <item x="491"/>
        <item x="520"/>
        <item x="232"/>
        <item x="178"/>
        <item x="500"/>
        <item x="763"/>
        <item x="224"/>
        <item x="758"/>
        <item x="177"/>
        <item x="234"/>
        <item x="223"/>
        <item x="766"/>
        <item x="515"/>
        <item x="764"/>
        <item x="513"/>
        <item x="556"/>
        <item x="213"/>
        <item x="214"/>
        <item x="233"/>
        <item x="526"/>
        <item x="166"/>
        <item x="773"/>
        <item x="530"/>
        <item x="236"/>
        <item x="543"/>
        <item x="118"/>
        <item x="531"/>
        <item x="551"/>
        <item x="235"/>
        <item x="116"/>
        <item x="238"/>
        <item x="280"/>
        <item x="126"/>
        <item x="459"/>
        <item x="244"/>
        <item x="278"/>
        <item x="458"/>
        <item x="279"/>
        <item x="540"/>
        <item x="539"/>
        <item x="242"/>
        <item x="198"/>
        <item x="443"/>
        <item x="281"/>
        <item x="241"/>
        <item x="715"/>
        <item x="723"/>
        <item x="439"/>
        <item x="179"/>
        <item x="445"/>
        <item x="440"/>
        <item x="457"/>
        <item x="455"/>
        <item x="454"/>
        <item x="251"/>
        <item x="425"/>
        <item x="719"/>
        <item x="243"/>
        <item x="424"/>
        <item x="474"/>
        <item x="475"/>
        <item x="240"/>
        <item x="165"/>
        <item x="409"/>
        <item x="416"/>
        <item x="420"/>
        <item x="415"/>
        <item x="428"/>
        <item x="408"/>
        <item x="421"/>
        <item x="427"/>
        <item x="426"/>
        <item x="413"/>
        <item x="717"/>
        <item x="412"/>
        <item x="718"/>
        <item x="722"/>
        <item x="183"/>
        <item x="121"/>
        <item x="125"/>
        <item x="123"/>
        <item x="139"/>
        <item x="129"/>
        <item x="128"/>
        <item x="136"/>
        <item x="135"/>
        <item x="134"/>
        <item x="131"/>
        <item x="127"/>
        <item x="181"/>
        <item x="156"/>
        <item x="716"/>
        <item x="153"/>
        <item x="157"/>
        <item x="158"/>
        <item x="154"/>
        <item x="160"/>
        <item x="161"/>
        <item x="150"/>
        <item x="162"/>
        <item x="152"/>
        <item x="163"/>
        <item x="148"/>
        <item x="151"/>
        <item x="578"/>
        <item x="729"/>
        <item x="728"/>
        <item x="732"/>
        <item x="299"/>
        <item x="301"/>
        <item x="709"/>
        <item x="398"/>
        <item x="393"/>
        <item x="302"/>
        <item x="727"/>
        <item x="300"/>
        <item x="303"/>
        <item x="721"/>
        <item x="320"/>
        <item x="307"/>
        <item x="395"/>
        <item x="329"/>
        <item x="403"/>
        <item x="316"/>
        <item x="725"/>
        <item x="326"/>
        <item x="321"/>
        <item x="325"/>
        <item x="724"/>
        <item x="317"/>
        <item x="339"/>
        <item x="375"/>
        <item x="291"/>
        <item x="377"/>
        <item x="374"/>
        <item x="372"/>
        <item x="708"/>
        <item x="290"/>
        <item x="396"/>
        <item x="397"/>
        <item x="292"/>
        <item x="406"/>
        <item x="79"/>
        <item x="402"/>
        <item x="92"/>
        <item x="293"/>
        <item x="284"/>
        <item x="410"/>
        <item x="331"/>
        <item x="208"/>
        <item x="328"/>
        <item x="337"/>
        <item x="775"/>
        <item x="707"/>
        <item x="19"/>
        <item x="209"/>
        <item x="346"/>
        <item x="342"/>
        <item x="277"/>
        <item x="20"/>
        <item x="483"/>
        <item x="239"/>
        <item x="205"/>
        <item x="542"/>
        <item x="484"/>
        <item x="252"/>
        <item x="256"/>
        <item x="254"/>
        <item x="253"/>
        <item x="204"/>
        <item x="356"/>
        <item x="364"/>
        <item x="258"/>
        <item x="249"/>
        <item x="248"/>
        <item x="245"/>
        <item x="263"/>
        <item x="260"/>
        <item x="237"/>
        <item x="702"/>
        <item x="250"/>
        <item x="523"/>
        <item x="750"/>
        <item x="246"/>
        <item x="265"/>
        <item x="201"/>
        <item x="266"/>
        <item x="751"/>
        <item x="622"/>
        <item x="771"/>
        <item x="379"/>
        <item x="749"/>
        <item x="770"/>
        <item x="211"/>
        <item x="769"/>
        <item x="752"/>
        <item x="488"/>
        <item x="212"/>
        <item x="21"/>
        <item x="772"/>
        <item x="767"/>
        <item x="753"/>
        <item x="617"/>
        <item x="22"/>
        <item x="373"/>
        <item x="699"/>
        <item x="583"/>
        <item x="33"/>
        <item x="748"/>
        <item x="734"/>
        <item x="23"/>
        <item x="39"/>
        <item x="32"/>
        <item x="768"/>
        <item x="40"/>
        <item x="31"/>
        <item x="754"/>
        <item x="736"/>
        <item x="34"/>
        <item x="705"/>
        <item x="700"/>
        <item x="743"/>
        <item x="42"/>
        <item x="747"/>
        <item x="746"/>
        <item x="744"/>
        <item x="756"/>
        <item x="745"/>
        <item x="781"/>
        <item x="35"/>
        <item x="83"/>
        <item x="137"/>
        <item x="120"/>
        <item x="122"/>
        <item x="704"/>
        <item x="497"/>
        <item x="678"/>
        <item x="660"/>
        <item x="648"/>
        <item x="656"/>
        <item x="104"/>
        <item x="103"/>
        <item x="665"/>
        <item x="649"/>
        <item x="502"/>
        <item x="696"/>
        <item x="91"/>
        <item x="41"/>
        <item x="701"/>
        <item x="776"/>
        <item x="16"/>
        <item x="82"/>
        <item x="706"/>
        <item x="692"/>
        <item x="319"/>
        <item x="189"/>
        <item x="407"/>
        <item x="690"/>
        <item x="193"/>
        <item x="45"/>
        <item x="332"/>
        <item x="18"/>
        <item x="405"/>
        <item x="411"/>
        <item x="330"/>
        <item x="399"/>
        <item x="434"/>
        <item x="324"/>
        <item x="28"/>
        <item x="642"/>
        <item x="365"/>
        <item x="401"/>
        <item x="286"/>
        <item x="323"/>
        <item x="146"/>
        <item x="400"/>
        <item x="341"/>
        <item x="74"/>
        <item x="311"/>
        <item x="312"/>
        <item x="310"/>
        <item x="313"/>
        <item x="652"/>
        <item x="282"/>
        <item x="314"/>
        <item x="145"/>
        <item x="394"/>
        <item x="43"/>
        <item x="388"/>
        <item x="287"/>
        <item x="429"/>
        <item x="677"/>
        <item x="30"/>
        <item x="386"/>
        <item x="81"/>
        <item x="80"/>
        <item x="369"/>
        <item x="289"/>
        <item x="306"/>
        <item x="308"/>
        <item x="384"/>
        <item x="466"/>
        <item x="322"/>
        <item x="288"/>
        <item x="14"/>
        <item x="49"/>
        <item x="611"/>
        <item x="309"/>
        <item x="305"/>
        <item x="383"/>
        <item x="230"/>
        <item x="50"/>
        <item x="304"/>
        <item x="607"/>
        <item x="55"/>
        <item x="78"/>
        <item x="15"/>
        <item x="460"/>
        <item x="381"/>
        <item x="58"/>
        <item x="726"/>
        <item x="56"/>
        <item x="231"/>
        <item x="13"/>
        <item x="17"/>
        <item x="51"/>
        <item x="570"/>
        <item x="75"/>
        <item x="57"/>
        <item x="73"/>
        <item x="54"/>
        <item x="60"/>
        <item x="376"/>
        <item x="64"/>
        <item x="53"/>
        <item x="52"/>
        <item x="66"/>
        <item x="59"/>
        <item x="255"/>
        <item x="529"/>
        <item x="229"/>
        <item x="61"/>
        <item x="548"/>
        <item x="378"/>
        <item x="62"/>
        <item x="344"/>
        <item x="247"/>
        <item x="63"/>
        <item x="350"/>
        <item x="327"/>
        <item x="334"/>
        <item x="479"/>
        <item x="347"/>
        <item x="480"/>
        <item x="221"/>
        <item x="442"/>
        <item x="218"/>
        <item x="220"/>
        <item x="219"/>
        <item x="449"/>
        <item x="565"/>
        <item x="227"/>
        <item x="215"/>
        <item x="8"/>
        <item x="12"/>
        <item x="275"/>
        <item x="217"/>
        <item x="441"/>
        <item x="225"/>
        <item x="216"/>
        <item x="338"/>
        <item x="340"/>
        <item x="361"/>
        <item x="355"/>
        <item x="352"/>
        <item x="226"/>
        <item x="354"/>
        <item x="359"/>
        <item x="348"/>
        <item x="730"/>
        <item x="538"/>
        <item x="9"/>
        <item x="27"/>
        <item x="362"/>
        <item x="26"/>
        <item x="432"/>
        <item x="29"/>
        <item x="392"/>
        <item x="703"/>
        <item x="390"/>
        <item x="537"/>
        <item x="774"/>
        <item x="38"/>
        <item x="37"/>
        <item x="187"/>
        <item x="36"/>
        <item x="4"/>
        <item x="109"/>
        <item x="418"/>
        <item x="144"/>
        <item x="147"/>
        <item x="149"/>
        <item x="3"/>
        <item x="447"/>
        <item x="196"/>
        <item x="446"/>
        <item x="113"/>
        <item x="197"/>
        <item x="10"/>
        <item x="11"/>
        <item x="5"/>
        <item x="7"/>
        <item x="84"/>
        <item x="101"/>
        <item x="88"/>
        <item x="387"/>
        <item x="6"/>
        <item x="90"/>
        <item x="96"/>
        <item x="108"/>
        <item x="371"/>
        <item x="389"/>
        <item x="391"/>
        <item x="419"/>
        <item x="112"/>
        <item x="422"/>
        <item x="370"/>
        <item x="115"/>
        <item x="740"/>
        <item x="114"/>
        <item x="132"/>
        <item x="259"/>
        <item x="133"/>
        <item x="261"/>
        <item x="124"/>
        <item x="640"/>
        <item x="262"/>
        <item x="257"/>
        <item x="130"/>
        <item x="638"/>
        <item x="368"/>
        <item x="647"/>
        <item x="436"/>
        <item x="586"/>
        <item x="637"/>
        <item x="635"/>
        <item x="631"/>
        <item x="264"/>
        <item x="654"/>
        <item x="48"/>
        <item x="437"/>
        <item x="653"/>
        <item x="651"/>
        <item x="738"/>
        <item x="367"/>
        <item x="268"/>
        <item x="349"/>
        <item x="366"/>
        <item x="155"/>
        <item x="351"/>
        <item x="353"/>
        <item x="363"/>
        <item x="357"/>
        <item x="741"/>
        <item x="382"/>
        <item x="358"/>
        <item x="739"/>
        <item x="360"/>
        <item x="507"/>
        <item x="47"/>
        <item x="110"/>
        <item x="663"/>
        <item x="25"/>
        <item x="159"/>
        <item x="499"/>
        <item x="664"/>
        <item x="444"/>
        <item x="76"/>
        <item x="24"/>
        <item x="438"/>
        <item x="77"/>
        <item x="67"/>
        <item x="672"/>
        <item x="684"/>
        <item x="670"/>
        <item x="68"/>
        <item x="111"/>
        <item x="765"/>
        <item x="595"/>
        <item x="681"/>
        <item x="596"/>
        <item x="65"/>
        <item x="627"/>
        <item x="69"/>
        <item x="597"/>
        <item x="686"/>
        <item x="70"/>
        <item x="44"/>
        <item x="778"/>
        <item x="693"/>
        <item x="685"/>
        <item x="72"/>
        <item x="71"/>
        <item x="46"/>
        <item x="598"/>
        <item x="176"/>
        <item x="601"/>
        <item x="755"/>
        <item x="603"/>
        <item x="615"/>
        <item x="733"/>
        <item x="623"/>
        <item x="606"/>
        <item x="697"/>
        <item x="285"/>
        <item x="618"/>
        <item x="283"/>
        <item x="614"/>
        <item x="608"/>
        <item x="612"/>
        <item x="1"/>
        <item x="172"/>
        <item x="609"/>
        <item x="592"/>
        <item x="588"/>
        <item x="593"/>
        <item x="584"/>
        <item x="587"/>
        <item x="2"/>
        <item x="191"/>
        <item x="735"/>
        <item x="97"/>
        <item x="194"/>
        <item x="95"/>
        <item x="94"/>
        <item x="192"/>
        <item x="569"/>
        <item x="582"/>
        <item x="102"/>
        <item x="99"/>
        <item x="100"/>
        <item x="98"/>
        <item x="567"/>
        <item x="559"/>
        <item x="566"/>
        <item x="568"/>
        <item x="195"/>
        <item x="417"/>
        <item x="549"/>
        <item x="558"/>
        <item x="423"/>
        <item x="553"/>
        <item x="555"/>
        <item x="267"/>
        <item x="737"/>
        <item x="270"/>
        <item x="269"/>
        <item x="271"/>
        <item x="274"/>
        <item x="272"/>
        <item x="273"/>
        <item x="448"/>
        <item x="624"/>
        <item x="589"/>
        <item x="620"/>
        <item x="487"/>
        <item x="489"/>
        <item x="493"/>
        <item x="295"/>
        <item x="494"/>
        <item x="503"/>
        <item x="498"/>
        <item x="296"/>
        <item x="276"/>
        <item x="345"/>
        <item x="294"/>
        <item x="336"/>
        <item x="644"/>
        <item x="777"/>
        <item x="621"/>
        <item x="780"/>
        <item x="710"/>
        <item x="167"/>
        <item x="168"/>
        <item x="185"/>
        <item x="169"/>
        <item x="433"/>
        <item x="691"/>
        <item x="430"/>
        <item x="164"/>
        <item x="141"/>
        <item x="435"/>
        <item x="140"/>
        <item x="190"/>
        <item x="335"/>
        <item x="105"/>
        <item x="142"/>
        <item x="188"/>
        <item x="404"/>
        <item x="333"/>
        <item x="414"/>
        <item x="171"/>
        <item x="138"/>
        <item x="343"/>
        <item x="380"/>
        <item x="315"/>
        <item x="119"/>
        <item x="385"/>
        <item x="431"/>
        <item x="536"/>
        <item x="174"/>
        <item x="170"/>
        <item x="107"/>
        <item x="143"/>
        <item x="572"/>
        <item x="86"/>
        <item x="85"/>
        <item x="93"/>
        <item x="106"/>
        <item x="89"/>
        <item x="87"/>
        <item x="117"/>
        <item x="594"/>
        <item x="544"/>
        <item x="782"/>
        <item t="default"/>
      </items>
    </pivotField>
    <pivotField compact="0" showAll="0">
      <items count="273">
        <item x="0"/>
        <item x="51"/>
        <item x="231"/>
        <item x="204"/>
        <item x="6"/>
        <item x="7"/>
        <item x="153"/>
        <item x="185"/>
        <item x="27"/>
        <item x="14"/>
        <item x="12"/>
        <item x="163"/>
        <item x="15"/>
        <item x="161"/>
        <item x="20"/>
        <item x="10"/>
        <item x="11"/>
        <item x="109"/>
        <item x="21"/>
        <item x="16"/>
        <item x="1"/>
        <item x="39"/>
        <item x="2"/>
        <item x="146"/>
        <item x="166"/>
        <item x="3"/>
        <item x="4"/>
        <item x="224"/>
        <item x="5"/>
        <item x="229"/>
        <item x="38"/>
        <item x="202"/>
        <item x="8"/>
        <item x="106"/>
        <item x="23"/>
        <item x="108"/>
        <item x="144"/>
        <item x="13"/>
        <item x="18"/>
        <item x="50"/>
        <item x="53"/>
        <item x="87"/>
        <item x="9"/>
        <item x="36"/>
        <item x="55"/>
        <item x="17"/>
        <item x="24"/>
        <item x="179"/>
        <item x="25"/>
        <item x="186"/>
        <item x="54"/>
        <item x="267"/>
        <item x="33"/>
        <item x="269"/>
        <item x="22"/>
        <item x="26"/>
        <item x="75"/>
        <item x="98"/>
        <item x="195"/>
        <item x="57"/>
        <item x="19"/>
        <item x="207"/>
        <item x="213"/>
        <item x="34"/>
        <item x="76"/>
        <item x="223"/>
        <item x="266"/>
        <item x="80"/>
        <item x="205"/>
        <item x="65"/>
        <item x="197"/>
        <item x="35"/>
        <item x="72"/>
        <item x="225"/>
        <item x="149"/>
        <item x="73"/>
        <item x="29"/>
        <item x="194"/>
        <item x="211"/>
        <item x="155"/>
        <item x="62"/>
        <item x="268"/>
        <item x="218"/>
        <item x="63"/>
        <item x="78"/>
        <item x="92"/>
        <item x="249"/>
        <item x="226"/>
        <item x="254"/>
        <item x="30"/>
        <item x="206"/>
        <item x="196"/>
        <item x="219"/>
        <item x="216"/>
        <item x="126"/>
        <item x="66"/>
        <item x="134"/>
        <item x="217"/>
        <item x="122"/>
        <item x="210"/>
        <item x="180"/>
        <item x="200"/>
        <item x="214"/>
        <item x="79"/>
        <item x="59"/>
        <item x="113"/>
        <item x="188"/>
        <item x="189"/>
        <item x="32"/>
        <item x="232"/>
        <item x="245"/>
        <item x="212"/>
        <item x="253"/>
        <item x="132"/>
        <item x="234"/>
        <item x="252"/>
        <item x="233"/>
        <item x="263"/>
        <item x="262"/>
        <item x="84"/>
        <item x="177"/>
        <item x="257"/>
        <item x="89"/>
        <item x="136"/>
        <item x="77"/>
        <item x="270"/>
        <item x="94"/>
        <item x="192"/>
        <item x="28"/>
        <item x="44"/>
        <item x="190"/>
        <item x="129"/>
        <item x="74"/>
        <item x="131"/>
        <item x="100"/>
        <item x="31"/>
        <item x="174"/>
        <item x="240"/>
        <item x="160"/>
        <item x="203"/>
        <item x="102"/>
        <item x="173"/>
        <item x="133"/>
        <item x="125"/>
        <item x="258"/>
        <item x="138"/>
        <item x="115"/>
        <item x="172"/>
        <item x="184"/>
        <item x="239"/>
        <item x="244"/>
        <item x="199"/>
        <item x="246"/>
        <item x="261"/>
        <item x="128"/>
        <item x="247"/>
        <item x="242"/>
        <item x="151"/>
        <item x="135"/>
        <item x="90"/>
        <item x="85"/>
        <item x="260"/>
        <item x="237"/>
        <item x="228"/>
        <item x="227"/>
        <item x="215"/>
        <item x="157"/>
        <item x="81"/>
        <item x="143"/>
        <item x="241"/>
        <item x="140"/>
        <item x="198"/>
        <item x="236"/>
        <item x="265"/>
        <item x="250"/>
        <item x="41"/>
        <item x="91"/>
        <item x="162"/>
        <item x="169"/>
        <item x="168"/>
        <item x="130"/>
        <item x="127"/>
        <item x="178"/>
        <item x="123"/>
        <item x="182"/>
        <item x="154"/>
        <item x="255"/>
        <item x="99"/>
        <item x="235"/>
        <item x="118"/>
        <item x="164"/>
        <item x="95"/>
        <item x="88"/>
        <item x="193"/>
        <item x="103"/>
        <item x="141"/>
        <item x="150"/>
        <item x="158"/>
        <item x="243"/>
        <item x="221"/>
        <item x="152"/>
        <item x="142"/>
        <item x="148"/>
        <item x="222"/>
        <item x="114"/>
        <item x="116"/>
        <item x="67"/>
        <item x="181"/>
        <item x="121"/>
        <item x="119"/>
        <item x="124"/>
        <item x="159"/>
        <item x="120"/>
        <item x="47"/>
        <item x="37"/>
        <item x="40"/>
        <item x="248"/>
        <item x="264"/>
        <item x="170"/>
        <item x="259"/>
        <item x="104"/>
        <item x="110"/>
        <item x="112"/>
        <item x="175"/>
        <item x="96"/>
        <item x="251"/>
        <item x="48"/>
        <item x="220"/>
        <item x="183"/>
        <item x="208"/>
        <item x="101"/>
        <item x="201"/>
        <item x="256"/>
        <item x="137"/>
        <item x="93"/>
        <item x="64"/>
        <item x="191"/>
        <item x="83"/>
        <item x="156"/>
        <item x="139"/>
        <item x="167"/>
        <item x="61"/>
        <item x="176"/>
        <item x="82"/>
        <item x="86"/>
        <item x="171"/>
        <item x="58"/>
        <item x="49"/>
        <item x="145"/>
        <item x="147"/>
        <item x="69"/>
        <item x="46"/>
        <item x="45"/>
        <item x="43"/>
        <item x="56"/>
        <item x="230"/>
        <item x="117"/>
        <item x="238"/>
        <item x="42"/>
        <item x="97"/>
        <item x="60"/>
        <item x="105"/>
        <item x="52"/>
        <item x="165"/>
        <item x="107"/>
        <item x="187"/>
        <item x="111"/>
        <item x="70"/>
        <item x="68"/>
        <item x="71"/>
        <item x="209"/>
        <item x="271"/>
        <item t="default"/>
      </items>
    </pivotField>
    <pivotField compact="0" showAll="0">
      <items count="957">
        <item x="907"/>
        <item x="917"/>
        <item x="887"/>
        <item x="895"/>
        <item x="900"/>
        <item x="886"/>
        <item x="889"/>
        <item x="894"/>
        <item x="0"/>
        <item x="818"/>
        <item x="820"/>
        <item x="821"/>
        <item x="850"/>
        <item x="837"/>
        <item x="825"/>
        <item x="826"/>
        <item x="854"/>
        <item x="827"/>
        <item x="944"/>
        <item x="859"/>
        <item x="828"/>
        <item x="867"/>
        <item x="948"/>
        <item x="861"/>
        <item x="873"/>
        <item x="829"/>
        <item x="947"/>
        <item x="946"/>
        <item x="940"/>
        <item x="879"/>
        <item x="857"/>
        <item x="875"/>
        <item x="871"/>
        <item x="943"/>
        <item x="801"/>
        <item x="811"/>
        <item x="804"/>
        <item x="802"/>
        <item x="823"/>
        <item x="132"/>
        <item x="800"/>
        <item x="843"/>
        <item x="799"/>
        <item x="810"/>
        <item x="874"/>
        <item x="165"/>
        <item x="358"/>
        <item x="807"/>
        <item x="945"/>
        <item x="951"/>
        <item x="870"/>
        <item x="17"/>
        <item x="855"/>
        <item x="814"/>
        <item x="98"/>
        <item x="442"/>
        <item x="205"/>
        <item x="509"/>
        <item x="896"/>
        <item x="96"/>
        <item x="904"/>
        <item x="808"/>
        <item x="630"/>
        <item x="332"/>
        <item x="558"/>
        <item x="883"/>
        <item x="915"/>
        <item x="677"/>
        <item x="937"/>
        <item x="792"/>
        <item x="230"/>
        <item x="794"/>
        <item x="535"/>
        <item x="99"/>
        <item x="553"/>
        <item x="776"/>
        <item x="852"/>
        <item x="189"/>
        <item x="438"/>
        <item x="562"/>
        <item x="121"/>
        <item x="93"/>
        <item x="902"/>
        <item x="170"/>
        <item x="831"/>
        <item x="40"/>
        <item x="20"/>
        <item x="21"/>
        <item x="22"/>
        <item x="30"/>
        <item x="668"/>
        <item x="690"/>
        <item x="642"/>
        <item x="113"/>
        <item x="228"/>
        <item x="61"/>
        <item x="830"/>
        <item x="832"/>
        <item x="324"/>
        <item x="941"/>
        <item x="276"/>
        <item x="803"/>
        <item x="23"/>
        <item x="29"/>
        <item x="28"/>
        <item x="102"/>
        <item x="674"/>
        <item x="60"/>
        <item x="833"/>
        <item x="139"/>
        <item x="386"/>
        <item x="938"/>
        <item x="791"/>
        <item x="834"/>
        <item x="39"/>
        <item x="862"/>
        <item x="123"/>
        <item x="135"/>
        <item x="4"/>
        <item x="942"/>
        <item x="136"/>
        <item x="71"/>
        <item x="3"/>
        <item x="218"/>
        <item x="223"/>
        <item x="19"/>
        <item x="168"/>
        <item x="167"/>
        <item x="166"/>
        <item x="89"/>
        <item x="88"/>
        <item x="57"/>
        <item x="64"/>
        <item x="65"/>
        <item x="59"/>
        <item x="425"/>
        <item x="62"/>
        <item x="147"/>
        <item x="428"/>
        <item x="50"/>
        <item x="154"/>
        <item x="390"/>
        <item x="153"/>
        <item x="152"/>
        <item x="149"/>
        <item x="146"/>
        <item x="844"/>
        <item x="44"/>
        <item x="54"/>
        <item x="82"/>
        <item x="56"/>
        <item x="8"/>
        <item x="14"/>
        <item x="55"/>
        <item x="678"/>
        <item x="16"/>
        <item x="15"/>
        <item x="563"/>
        <item x="67"/>
        <item x="13"/>
        <item x="860"/>
        <item x="227"/>
        <item x="331"/>
        <item x="10"/>
        <item x="66"/>
        <item x="9"/>
        <item x="179"/>
        <item x="63"/>
        <item x="69"/>
        <item x="176"/>
        <item x="180"/>
        <item x="72"/>
        <item x="181"/>
        <item x="73"/>
        <item x="74"/>
        <item x="177"/>
        <item x="68"/>
        <item x="47"/>
        <item x="183"/>
        <item x="184"/>
        <item x="32"/>
        <item x="11"/>
        <item x="5"/>
        <item x="805"/>
        <item x="846"/>
        <item x="185"/>
        <item x="7"/>
        <item x="175"/>
        <item x="186"/>
        <item x="1"/>
        <item x="328"/>
        <item x="6"/>
        <item x="37"/>
        <item x="46"/>
        <item x="48"/>
        <item x="52"/>
        <item x="557"/>
        <item x="868"/>
        <item x="103"/>
        <item x="555"/>
        <item x="806"/>
        <item x="739"/>
        <item x="12"/>
        <item x="87"/>
        <item x="172"/>
        <item x="793"/>
        <item x="95"/>
        <item x="790"/>
        <item x="2"/>
        <item x="126"/>
        <item x="106"/>
        <item x="847"/>
        <item x="164"/>
        <item x="18"/>
        <item x="171"/>
        <item x="31"/>
        <item x="109"/>
        <item x="130"/>
        <item x="743"/>
        <item x="840"/>
        <item x="110"/>
        <item x="27"/>
        <item x="355"/>
        <item x="841"/>
        <item x="885"/>
        <item x="601"/>
        <item x="587"/>
        <item x="589"/>
        <item x="602"/>
        <item x="584"/>
        <item x="600"/>
        <item x="333"/>
        <item x="592"/>
        <item x="336"/>
        <item x="597"/>
        <item x="91"/>
        <item x="277"/>
        <item x="86"/>
        <item x="593"/>
        <item x="392"/>
        <item x="45"/>
        <item x="49"/>
        <item x="379"/>
        <item x="798"/>
        <item x="835"/>
        <item x="92"/>
        <item x="836"/>
        <item x="105"/>
        <item x="795"/>
        <item x="338"/>
        <item x="173"/>
        <item x="757"/>
        <item x="335"/>
        <item x="339"/>
        <item x="101"/>
        <item x="343"/>
        <item x="370"/>
        <item x="125"/>
        <item x="353"/>
        <item x="364"/>
        <item x="51"/>
        <item x="354"/>
        <item x="446"/>
        <item x="129"/>
        <item x="384"/>
        <item x="133"/>
        <item x="797"/>
        <item x="131"/>
        <item x="796"/>
        <item x="423"/>
        <item x="143"/>
        <item x="426"/>
        <item x="26"/>
        <item x="421"/>
        <item x="419"/>
        <item x="323"/>
        <item x="842"/>
        <item x="347"/>
        <item x="348"/>
        <item x="346"/>
        <item x="349"/>
        <item x="458"/>
        <item x="90"/>
        <item x="918"/>
        <item x="318"/>
        <item x="537"/>
        <item x="240"/>
        <item x="435"/>
        <item x="320"/>
        <item x="361"/>
        <item x="319"/>
        <item x="241"/>
        <item x="345"/>
        <item x="780"/>
        <item x="58"/>
        <item x="307"/>
        <item x="84"/>
        <item x="239"/>
        <item x="583"/>
        <item x="85"/>
        <item x="75"/>
        <item x="83"/>
        <item x="760"/>
        <item x="140"/>
        <item x="81"/>
        <item x="539"/>
        <item x="270"/>
        <item x="236"/>
        <item x="76"/>
        <item x="142"/>
        <item x="359"/>
        <item x="538"/>
        <item x="77"/>
        <item x="280"/>
        <item x="281"/>
        <item x="775"/>
        <item x="78"/>
        <item x="282"/>
        <item x="235"/>
        <item x="781"/>
        <item x="839"/>
        <item x="80"/>
        <item x="70"/>
        <item x="79"/>
        <item x="360"/>
        <item x="273"/>
        <item x="865"/>
        <item x="268"/>
        <item x="201"/>
        <item x="275"/>
        <item x="278"/>
        <item x="274"/>
        <item x="294"/>
        <item x="242"/>
        <item x="295"/>
        <item x="701"/>
        <item x="778"/>
        <item x="322"/>
        <item x="789"/>
        <item x="97"/>
        <item x="316"/>
        <item x="314"/>
        <item x="141"/>
        <item x="197"/>
        <item x="100"/>
        <item x="919"/>
        <item x="913"/>
        <item x="866"/>
        <item x="604"/>
        <item x="203"/>
        <item x="905"/>
        <item x="605"/>
        <item x="920"/>
        <item x="914"/>
        <item x="912"/>
        <item x="588"/>
        <item x="596"/>
        <item x="466"/>
        <item x="921"/>
        <item x="916"/>
        <item x="911"/>
        <item x="923"/>
        <item x="134"/>
        <item x="221"/>
        <item x="925"/>
        <item x="470"/>
        <item x="732"/>
        <item x="127"/>
        <item x="922"/>
        <item x="382"/>
        <item x="25"/>
        <item x="926"/>
        <item x="385"/>
        <item x="449"/>
        <item x="936"/>
        <item x="928"/>
        <item x="334"/>
        <item x="610"/>
        <item x="24"/>
        <item x="224"/>
        <item x="451"/>
        <item x="453"/>
        <item x="34"/>
        <item x="222"/>
        <item x="35"/>
        <item x="454"/>
        <item x="726"/>
        <item x="145"/>
        <item x="33"/>
        <item x="747"/>
        <item x="728"/>
        <item x="128"/>
        <item x="731"/>
        <item x="736"/>
        <item x="725"/>
        <item x="503"/>
        <item x="459"/>
        <item x="225"/>
        <item x="785"/>
        <item x="735"/>
        <item x="479"/>
        <item x="488"/>
        <item x="568"/>
        <item x="786"/>
        <item x="782"/>
        <item x="695"/>
        <item x="187"/>
        <item x="160"/>
        <item x="512"/>
        <item x="159"/>
        <item x="511"/>
        <item x="329"/>
        <item x="156"/>
        <item x="432"/>
        <item x="36"/>
        <item x="330"/>
        <item x="514"/>
        <item x="158"/>
        <item x="188"/>
        <item x="724"/>
        <item x="516"/>
        <item x="517"/>
        <item x="53"/>
        <item x="41"/>
        <item x="42"/>
        <item x="43"/>
        <item x="723"/>
        <item x="727"/>
        <item x="94"/>
        <item x="213"/>
        <item x="526"/>
        <item x="777"/>
        <item x="566"/>
        <item x="38"/>
        <item x="892"/>
        <item x="174"/>
        <item x="667"/>
        <item x="890"/>
        <item x="787"/>
        <item x="891"/>
        <item x="753"/>
        <item x="765"/>
        <item x="372"/>
        <item x="754"/>
        <item x="744"/>
        <item x="368"/>
        <item x="381"/>
        <item x="342"/>
        <item x="344"/>
        <item x="518"/>
        <item x="155"/>
        <item x="761"/>
        <item x="226"/>
        <item x="400"/>
        <item x="769"/>
        <item x="341"/>
        <item x="759"/>
        <item x="388"/>
        <item x="340"/>
        <item x="718"/>
        <item x="722"/>
        <item x="762"/>
        <item x="529"/>
        <item x="755"/>
        <item x="519"/>
        <item x="424"/>
        <item x="745"/>
        <item x="756"/>
        <item x="763"/>
        <item x="685"/>
        <item x="714"/>
        <item x="594"/>
        <item x="618"/>
        <item x="337"/>
        <item x="541"/>
        <item x="540"/>
        <item x="766"/>
        <item x="356"/>
        <item x="771"/>
        <item x="748"/>
        <item x="773"/>
        <item x="157"/>
        <item x="746"/>
        <item x="491"/>
        <item x="403"/>
        <item x="939"/>
        <item x="679"/>
        <item x="427"/>
        <item x="586"/>
        <item x="669"/>
        <item x="120"/>
        <item x="751"/>
        <item x="571"/>
        <item x="606"/>
        <item x="198"/>
        <item x="572"/>
        <item x="738"/>
        <item x="472"/>
        <item x="673"/>
        <item x="621"/>
        <item x="672"/>
        <item x="590"/>
        <item x="598"/>
        <item x="671"/>
        <item x="204"/>
        <item x="764"/>
        <item x="901"/>
        <item x="326"/>
        <item x="490"/>
        <item x="897"/>
        <item x="498"/>
        <item x="670"/>
        <item x="675"/>
        <item x="934"/>
        <item x="927"/>
        <item x="898"/>
        <item x="107"/>
        <item x="607"/>
        <item x="933"/>
        <item x="730"/>
        <item x="591"/>
        <item x="924"/>
        <item x="644"/>
        <item x="932"/>
        <item x="903"/>
        <item x="645"/>
        <item x="585"/>
        <item x="441"/>
        <item x="599"/>
        <item x="104"/>
        <item x="935"/>
        <item x="615"/>
        <item x="640"/>
        <item x="930"/>
        <item x="481"/>
        <item x="609"/>
        <item x="478"/>
        <item x="770"/>
        <item x="444"/>
        <item x="327"/>
        <item x="608"/>
        <item x="614"/>
        <item x="485"/>
        <item x="422"/>
        <item x="659"/>
        <item x="476"/>
        <item x="613"/>
        <item x="633"/>
        <item x="851"/>
        <item x="420"/>
        <item x="417"/>
        <item x="655"/>
        <item x="357"/>
        <item x="288"/>
        <item x="658"/>
        <item x="290"/>
        <item x="654"/>
        <item x="286"/>
        <item x="463"/>
        <item x="496"/>
        <item x="908"/>
        <item x="486"/>
        <item x="148"/>
        <item x="704"/>
        <item x="306"/>
        <item x="493"/>
        <item x="371"/>
        <item x="465"/>
        <item x="415"/>
        <item x="620"/>
        <item x="643"/>
        <item x="363"/>
        <item x="369"/>
        <item x="737"/>
        <item x="869"/>
        <item x="492"/>
        <item x="412"/>
        <item x="652"/>
        <item x="317"/>
        <item x="362"/>
        <item x="952"/>
        <item x="629"/>
        <item x="729"/>
        <item x="624"/>
        <item x="650"/>
        <item x="448"/>
        <item x="631"/>
        <item x="648"/>
        <item x="115"/>
        <item x="625"/>
        <item x="622"/>
        <item x="741"/>
        <item x="639"/>
        <item x="740"/>
        <item x="452"/>
        <item x="414"/>
        <item x="705"/>
        <item x="450"/>
        <item x="443"/>
        <item x="297"/>
        <item x="788"/>
        <item x="413"/>
        <item x="178"/>
        <item x="542"/>
        <item x="373"/>
        <item x="876"/>
        <item x="410"/>
        <item x="884"/>
        <item x="447"/>
        <item x="405"/>
        <item x="882"/>
        <item x="445"/>
        <item x="407"/>
        <item x="565"/>
        <item x="694"/>
        <item x="365"/>
        <item x="698"/>
        <item x="906"/>
        <item x="436"/>
        <item x="377"/>
        <item x="114"/>
        <item x="699"/>
        <item x="877"/>
        <item x="710"/>
        <item x="713"/>
        <item x="433"/>
        <item x="750"/>
        <item x="569"/>
        <item x="752"/>
        <item x="434"/>
        <item x="325"/>
        <item x="567"/>
        <item x="772"/>
        <item x="758"/>
        <item x="144"/>
        <item x="380"/>
        <item x="579"/>
        <item x="691"/>
        <item x="285"/>
        <item x="909"/>
        <item x="284"/>
        <item x="578"/>
        <item x="283"/>
        <item x="574"/>
        <item x="774"/>
        <item x="575"/>
        <item x="287"/>
        <item x="570"/>
        <item x="554"/>
        <item x="292"/>
        <item x="693"/>
        <item x="289"/>
        <item x="559"/>
        <item x="696"/>
        <item x="697"/>
        <item x="396"/>
        <item x="573"/>
        <item x="709"/>
        <item x="700"/>
        <item x="878"/>
        <item x="467"/>
        <item x="712"/>
        <item x="702"/>
        <item x="393"/>
        <item x="483"/>
        <item x="706"/>
        <item x="464"/>
        <item x="560"/>
        <item x="471"/>
        <item x="703"/>
        <item x="556"/>
        <item x="660"/>
        <item x="880"/>
        <item x="510"/>
        <item x="656"/>
        <item x="249"/>
        <item x="252"/>
        <item x="657"/>
        <item x="910"/>
        <item x="259"/>
        <item x="688"/>
        <item x="494"/>
        <item x="520"/>
        <item x="246"/>
        <item x="689"/>
        <item x="617"/>
        <item x="680"/>
        <item x="525"/>
        <item x="350"/>
        <item x="881"/>
        <item x="504"/>
        <item x="248"/>
        <item x="612"/>
        <item x="497"/>
        <item x="247"/>
        <item x="611"/>
        <item x="651"/>
        <item x="521"/>
        <item x="408"/>
        <item x="402"/>
        <item x="398"/>
        <item x="627"/>
        <item x="641"/>
        <item x="258"/>
        <item x="623"/>
        <item x="401"/>
        <item x="406"/>
        <item x="394"/>
        <item x="665"/>
        <item x="676"/>
        <item x="351"/>
        <item x="119"/>
        <item x="116"/>
        <item x="117"/>
        <item x="664"/>
        <item x="308"/>
        <item x="409"/>
        <item x="619"/>
        <item x="309"/>
        <item x="853"/>
        <item x="845"/>
        <item x="580"/>
        <item x="872"/>
        <item x="838"/>
        <item x="822"/>
        <item x="663"/>
        <item x="849"/>
        <item x="638"/>
        <item x="632"/>
        <item x="848"/>
        <item x="524"/>
        <item x="387"/>
        <item x="637"/>
        <item x="581"/>
        <item x="169"/>
        <item x="647"/>
        <item x="653"/>
        <item x="150"/>
        <item x="582"/>
        <item x="151"/>
        <item x="649"/>
        <item x="626"/>
        <item x="646"/>
        <item x="548"/>
        <item x="819"/>
        <item x="899"/>
        <item x="191"/>
        <item x="192"/>
        <item x="551"/>
        <item x="210"/>
        <item x="219"/>
        <item x="122"/>
        <item x="162"/>
        <item x="216"/>
        <item x="460"/>
        <item x="196"/>
        <item x="352"/>
        <item x="214"/>
        <item x="161"/>
        <item x="217"/>
        <item x="220"/>
        <item x="124"/>
        <item x="461"/>
        <item x="163"/>
        <item x="211"/>
        <item x="215"/>
        <item x="232"/>
        <item x="550"/>
        <item x="549"/>
        <item x="547"/>
        <item x="182"/>
        <item x="545"/>
        <item x="552"/>
        <item x="190"/>
        <item x="118"/>
        <item x="546"/>
        <item x="662"/>
        <item x="207"/>
        <item x="303"/>
        <item x="661"/>
        <item x="440"/>
        <item x="301"/>
        <item x="302"/>
        <item x="534"/>
        <item x="817"/>
        <item x="561"/>
        <item x="533"/>
        <item x="603"/>
        <item x="532"/>
        <item x="564"/>
        <item x="595"/>
        <item x="767"/>
        <item x="543"/>
        <item x="666"/>
        <item x="720"/>
        <item x="111"/>
        <item x="824"/>
        <item x="931"/>
        <item x="929"/>
        <item x="719"/>
        <item x="768"/>
        <item x="576"/>
        <item x="254"/>
        <item x="577"/>
        <item x="260"/>
        <item x="523"/>
        <item x="506"/>
        <item x="536"/>
        <item x="495"/>
        <item x="487"/>
        <item x="480"/>
        <item x="256"/>
        <item x="864"/>
        <item x="265"/>
        <item x="255"/>
        <item x="522"/>
        <item x="291"/>
        <item x="455"/>
        <item x="858"/>
        <item x="267"/>
        <item x="457"/>
        <item x="266"/>
        <item x="456"/>
        <item x="293"/>
        <item x="269"/>
        <item x="742"/>
        <item x="272"/>
        <item x="395"/>
        <item x="856"/>
        <item x="397"/>
        <item x="399"/>
        <item x="404"/>
        <item x="416"/>
        <item x="245"/>
        <item x="112"/>
        <item x="243"/>
        <item x="749"/>
        <item x="863"/>
        <item x="193"/>
        <item x="707"/>
        <item x="499"/>
        <item x="513"/>
        <item x="515"/>
        <item x="949"/>
        <item x="231"/>
        <item x="681"/>
        <item x="721"/>
        <item x="692"/>
        <item x="815"/>
        <item x="687"/>
        <item x="950"/>
        <item x="684"/>
        <item x="234"/>
        <item x="816"/>
        <item x="209"/>
        <item x="233"/>
        <item x="686"/>
        <item x="238"/>
        <item x="717"/>
        <item x="374"/>
        <item x="237"/>
        <item x="212"/>
        <item x="250"/>
        <item x="475"/>
        <item x="208"/>
        <item x="616"/>
        <item x="251"/>
        <item x="108"/>
        <item x="313"/>
        <item x="257"/>
        <item x="411"/>
        <item x="628"/>
        <item x="734"/>
        <item x="253"/>
        <item x="271"/>
        <item x="418"/>
        <item x="469"/>
        <item x="429"/>
        <item x="378"/>
        <item x="375"/>
        <item x="389"/>
        <item x="431"/>
        <item x="137"/>
        <item x="733"/>
        <item x="376"/>
        <item x="383"/>
        <item x="391"/>
        <item x="194"/>
        <item x="138"/>
        <item x="195"/>
        <item x="311"/>
        <item x="715"/>
        <item x="430"/>
        <item x="229"/>
        <item x="305"/>
        <item x="304"/>
        <item x="202"/>
        <item x="634"/>
        <item x="636"/>
        <item x="635"/>
        <item x="682"/>
        <item x="683"/>
        <item x="953"/>
        <item x="716"/>
        <item x="954"/>
        <item x="711"/>
        <item x="468"/>
        <item x="708"/>
        <item x="206"/>
        <item x="200"/>
        <item x="439"/>
        <item x="199"/>
        <item x="263"/>
        <item x="482"/>
        <item x="261"/>
        <item x="262"/>
        <item x="244"/>
        <item x="264"/>
        <item x="544"/>
        <item x="484"/>
        <item x="888"/>
        <item x="893"/>
        <item x="489"/>
        <item x="507"/>
        <item x="296"/>
        <item x="508"/>
        <item x="298"/>
        <item x="300"/>
        <item x="321"/>
        <item x="279"/>
        <item x="315"/>
        <item x="437"/>
        <item x="500"/>
        <item x="502"/>
        <item x="505"/>
        <item x="473"/>
        <item x="462"/>
        <item x="527"/>
        <item x="528"/>
        <item x="530"/>
        <item x="531"/>
        <item x="366"/>
        <item x="779"/>
        <item x="367"/>
        <item x="310"/>
        <item x="474"/>
        <item x="501"/>
        <item x="477"/>
        <item x="312"/>
        <item x="299"/>
        <item x="783"/>
        <item x="784"/>
        <item x="813"/>
        <item x="809"/>
        <item x="812"/>
        <item x="955"/>
        <item t="default"/>
      </items>
    </pivotField>
    <pivotField dataField="1" compact="0" showAll="0">
      <items count="1462">
        <item x="1163"/>
        <item x="1167"/>
        <item x="1114"/>
        <item x="1116"/>
        <item x="560"/>
        <item x="377"/>
        <item x="672"/>
        <item x="1102"/>
        <item x="440"/>
        <item x="658"/>
        <item x="657"/>
        <item x="391"/>
        <item x="652"/>
        <item x="651"/>
        <item x="611"/>
        <item x="605"/>
        <item x="602"/>
        <item x="366"/>
        <item x="516"/>
        <item x="567"/>
        <item x="383"/>
        <item x="365"/>
        <item x="363"/>
        <item x="1000"/>
        <item x="631"/>
        <item x="361"/>
        <item x="618"/>
        <item x="615"/>
        <item x="1317"/>
        <item x="1310"/>
        <item x="578"/>
        <item x="692"/>
        <item x="327"/>
        <item x="575"/>
        <item x="562"/>
        <item x="931"/>
        <item x="257"/>
        <item x="251"/>
        <item x="554"/>
        <item x="994"/>
        <item x="1458"/>
        <item x="944"/>
        <item x="943"/>
        <item x="855"/>
        <item x="852"/>
        <item x="568"/>
        <item x="851"/>
        <item x="370"/>
        <item x="286"/>
        <item x="805"/>
        <item x="246"/>
        <item x="379"/>
        <item x="184"/>
        <item x="508"/>
        <item x="463"/>
        <item x="449"/>
        <item x="452"/>
        <item x="1076"/>
        <item x="506"/>
        <item x="555"/>
        <item x="584"/>
        <item x="336"/>
        <item x="1035"/>
        <item x="321"/>
        <item x="148"/>
        <item x="381"/>
        <item x="311"/>
        <item x="448"/>
        <item x="1003"/>
        <item x="298"/>
        <item x="954"/>
        <item x="871"/>
        <item x="260"/>
        <item x="1063"/>
        <item x="294"/>
        <item x="946"/>
        <item x="1170"/>
        <item x="1452"/>
        <item x="1009"/>
        <item x="942"/>
        <item x="1117"/>
        <item x="996"/>
        <item x="290"/>
        <item x="1451"/>
        <item x="604"/>
        <item x="627"/>
        <item x="1427"/>
        <item x="601"/>
        <item x="152"/>
        <item x="1165"/>
        <item x="474"/>
        <item x="1244"/>
        <item x="470"/>
        <item x="334"/>
        <item x="749"/>
        <item x="541"/>
        <item x="332"/>
        <item x="1248"/>
        <item x="539"/>
        <item x="356"/>
        <item x="974"/>
        <item x="319"/>
        <item x="1259"/>
        <item x="330"/>
        <item x="320"/>
        <item x="572"/>
        <item x="583"/>
        <item x="676"/>
        <item x="613"/>
        <item x="646"/>
        <item x="666"/>
        <item x="732"/>
        <item x="324"/>
        <item x="318"/>
        <item x="746"/>
        <item x="1419"/>
        <item x="1082"/>
        <item x="1005"/>
        <item x="1405"/>
        <item x="1411"/>
        <item x="1185"/>
        <item x="1007"/>
        <item x="911"/>
        <item x="688"/>
        <item x="1044"/>
        <item x="837"/>
        <item x="773"/>
        <item x="664"/>
        <item x="1174"/>
        <item x="721"/>
        <item x="669"/>
        <item x="1027"/>
        <item x="520"/>
        <item x="896"/>
        <item x="694"/>
        <item x="258"/>
        <item x="696"/>
        <item x="165"/>
        <item x="897"/>
        <item x="1402"/>
        <item x="704"/>
        <item x="697"/>
        <item x="233"/>
        <item x="702"/>
        <item x="292"/>
        <item x="265"/>
        <item x="268"/>
        <item x="424"/>
        <item x="544"/>
        <item x="270"/>
        <item x="211"/>
        <item x="169"/>
        <item x="274"/>
        <item x="262"/>
        <item x="244"/>
        <item x="243"/>
        <item x="1330"/>
        <item x="1176"/>
        <item x="700"/>
        <item x="880"/>
        <item x="830"/>
        <item x="199"/>
        <item x="873"/>
        <item x="218"/>
        <item x="1093"/>
        <item x="752"/>
        <item x="858"/>
        <item x="844"/>
        <item x="904"/>
        <item x="1180"/>
        <item x="1230"/>
        <item x="1209"/>
        <item x="1277"/>
        <item x="899"/>
        <item x="1224"/>
        <item x="1240"/>
        <item x="375"/>
        <item x="812"/>
        <item x="885"/>
        <item x="374"/>
        <item x="903"/>
        <item x="1222"/>
        <item x="909"/>
        <item x="865"/>
        <item x="833"/>
        <item x="473"/>
        <item x="834"/>
        <item x="477"/>
        <item x="483"/>
        <item x="642"/>
        <item x="823"/>
        <item x="882"/>
        <item x="797"/>
        <item x="309"/>
        <item x="802"/>
        <item x="609"/>
        <item x="949"/>
        <item x="421"/>
        <item x="1294"/>
        <item x="940"/>
        <item x="808"/>
        <item x="307"/>
        <item x="593"/>
        <item x="639"/>
        <item x="957"/>
        <item x="323"/>
        <item x="1364"/>
        <item x="314"/>
        <item x="310"/>
        <item x="889"/>
        <item x="621"/>
        <item x="1293"/>
        <item x="549"/>
        <item x="718"/>
        <item x="989"/>
        <item x="468"/>
        <item x="985"/>
        <item x="552"/>
        <item x="982"/>
        <item x="1287"/>
        <item x="992"/>
        <item x="741"/>
        <item x="935"/>
        <item x="976"/>
        <item x="717"/>
        <item x="972"/>
        <item x="357"/>
        <item x="708"/>
        <item x="736"/>
        <item x="969"/>
        <item x="744"/>
        <item x="748"/>
        <item x="927"/>
        <item x="968"/>
        <item x="350"/>
        <item x="1360"/>
        <item x="966"/>
        <item x="964"/>
        <item x="191"/>
        <item x="1091"/>
        <item x="643"/>
        <item x="731"/>
        <item x="1061"/>
        <item x="510"/>
        <item x="993"/>
        <item x="1285"/>
        <item x="981"/>
        <item x="513"/>
        <item x="977"/>
        <item x="1282"/>
        <item x="1356"/>
        <item x="439"/>
        <item x="973"/>
        <item x="727"/>
        <item x="482"/>
        <item x="525"/>
        <item x="955"/>
        <item x="480"/>
        <item x="1300"/>
        <item x="1305"/>
        <item x="485"/>
        <item x="447"/>
        <item x="686"/>
        <item x="488"/>
        <item x="1125"/>
        <item x="523"/>
        <item x="988"/>
        <item x="489"/>
        <item x="534"/>
        <item x="1297"/>
        <item x="861"/>
        <item x="1048"/>
        <item x="820"/>
        <item x="828"/>
        <item x="162"/>
        <item x="841"/>
        <item x="528"/>
        <item x="1050"/>
        <item x="879"/>
        <item x="827"/>
        <item x="1026"/>
        <item x="839"/>
        <item x="1459"/>
        <item x="487"/>
        <item x="902"/>
        <item x="1032"/>
        <item x="590"/>
        <item x="1271"/>
        <item x="1040"/>
        <item x="779"/>
        <item x="443"/>
        <item x="819"/>
        <item x="435"/>
        <item x="868"/>
        <item x="490"/>
        <item x="846"/>
        <item x="445"/>
        <item x="1028"/>
        <item x="591"/>
        <item x="372"/>
        <item x="196"/>
        <item x="1358"/>
        <item x="595"/>
        <item x="548"/>
        <item x="351"/>
        <item x="886"/>
        <item x="892"/>
        <item x="353"/>
        <item x="429"/>
        <item x="1304"/>
        <item x="907"/>
        <item x="492"/>
        <item x="1341"/>
        <item x="495"/>
        <item x="1235"/>
        <item x="1237"/>
        <item x="847"/>
        <item x="800"/>
        <item x="565"/>
        <item x="580"/>
        <item x="790"/>
        <item x="792"/>
        <item x="573"/>
        <item x="804"/>
        <item x="862"/>
        <item x="521"/>
        <item x="1021"/>
        <item x="758"/>
        <item x="1398"/>
        <item x="1393"/>
        <item x="1217"/>
        <item x="1415"/>
        <item x="869"/>
        <item x="767"/>
        <item x="1352"/>
        <item x="789"/>
        <item x="1345"/>
        <item x="1362"/>
        <item x="1400"/>
        <item x="1418"/>
        <item x="1335"/>
        <item x="816"/>
        <item x="925"/>
        <item x="598"/>
        <item x="1324"/>
        <item x="587"/>
        <item x="396"/>
        <item x="1343"/>
        <item x="1347"/>
        <item x="1350"/>
        <item x="1378"/>
        <item x="920"/>
        <item x="1327"/>
        <item x="960"/>
        <item x="1340"/>
        <item x="923"/>
        <item x="1349"/>
        <item x="1348"/>
        <item x="739"/>
        <item x="249"/>
        <item x="787"/>
        <item x="738"/>
        <item x="1331"/>
        <item x="1062"/>
        <item x="167"/>
        <item x="917"/>
        <item x="761"/>
        <item x="1041"/>
        <item x="1435"/>
        <item x="757"/>
        <item x="1059"/>
        <item x="1089"/>
        <item x="428"/>
        <item x="683"/>
        <item x="685"/>
        <item x="709"/>
        <item x="810"/>
        <item x="770"/>
        <item x="999"/>
        <item x="952"/>
        <item x="1068"/>
        <item x="1055"/>
        <item x="501"/>
        <item x="637"/>
        <item x="1067"/>
        <item x="1012"/>
        <item x="411"/>
        <item x="662"/>
        <item x="467"/>
        <item x="1084"/>
        <item x="475"/>
        <item x="283"/>
        <item x="1074"/>
        <item x="1056"/>
        <item x="636"/>
        <item x="413"/>
        <item x="455"/>
        <item x="442"/>
        <item x="772"/>
        <item x="1066"/>
        <item x="446"/>
        <item x="240"/>
        <item x="1311"/>
        <item x="1315"/>
        <item x="914"/>
        <item x="1316"/>
        <item x="68"/>
        <item x="729"/>
        <item x="1100"/>
        <item x="650"/>
        <item x="267"/>
        <item x="132"/>
        <item x="1023"/>
        <item x="1014"/>
        <item x="1018"/>
        <item x="66"/>
        <item x="628"/>
        <item x="630"/>
        <item x="509"/>
        <item x="205"/>
        <item x="400"/>
        <item x="623"/>
        <item x="208"/>
        <item x="626"/>
        <item x="209"/>
        <item x="238"/>
        <item x="1087"/>
        <item x="1111"/>
        <item x="1122"/>
        <item x="1016"/>
        <item x="585"/>
        <item x="1211"/>
        <item x="570"/>
        <item x="1037"/>
        <item x="1119"/>
        <item x="607"/>
        <item x="1019"/>
        <item x="1058"/>
        <item x="538"/>
        <item x="192"/>
        <item x="1022"/>
        <item x="61"/>
        <item x="535"/>
        <item x="51"/>
        <item x="280"/>
        <item x="1391"/>
        <item x="795"/>
        <item x="405"/>
        <item x="529"/>
        <item x="459"/>
        <item x="456"/>
        <item x="1423"/>
        <item x="174"/>
        <item x="1034"/>
        <item x="1396"/>
        <item x="181"/>
        <item x="277"/>
        <item x="1395"/>
        <item x="1390"/>
        <item x="1392"/>
        <item x="551"/>
        <item x="1387"/>
        <item x="763"/>
        <item x="1368"/>
        <item x="1381"/>
        <item x="1365"/>
        <item x="1375"/>
        <item x="1385"/>
        <item x="786"/>
        <item x="1268"/>
        <item x="1370"/>
        <item x="1372"/>
        <item x="1382"/>
        <item x="1383"/>
        <item x="248"/>
        <item x="1126"/>
        <item x="188"/>
        <item x="382"/>
        <item x="276"/>
        <item x="136"/>
        <item x="392"/>
        <item x="983"/>
        <item x="893"/>
        <item x="1265"/>
        <item x="343"/>
        <item x="333"/>
        <item x="1261"/>
        <item x="112"/>
        <item x="103"/>
        <item x="1121"/>
        <item x="295"/>
        <item x="347"/>
        <item x="325"/>
        <item x="1096"/>
        <item x="346"/>
        <item x="345"/>
        <item x="110"/>
        <item x="680"/>
        <item x="1105"/>
        <item x="431"/>
        <item x="296"/>
        <item x="335"/>
        <item x="682"/>
        <item x="114"/>
        <item x="187"/>
        <item x="1072"/>
        <item x="1425"/>
        <item x="108"/>
        <item x="118"/>
        <item x="299"/>
        <item x="117"/>
        <item x="373"/>
        <item x="1407"/>
        <item x="724"/>
        <item x="90"/>
        <item x="1108"/>
        <item x="388"/>
        <item x="1104"/>
        <item x="915"/>
        <item x="512"/>
        <item x="300"/>
        <item x="678"/>
        <item x="126"/>
        <item x="417"/>
        <item x="419"/>
        <item x="494"/>
        <item x="53"/>
        <item x="500"/>
        <item x="1138"/>
        <item x="1140"/>
        <item x="180"/>
        <item x="176"/>
        <item x="1143"/>
        <item x="82"/>
        <item x="436"/>
        <item x="425"/>
        <item x="172"/>
        <item x="444"/>
        <item x="1323"/>
        <item x="141"/>
        <item x="410"/>
        <item x="1142"/>
        <item x="1201"/>
        <item x="128"/>
        <item x="1203"/>
        <item x="453"/>
        <item x="76"/>
        <item x="1146"/>
        <item x="119"/>
        <item x="342"/>
        <item x="775"/>
        <item x="407"/>
        <item x="768"/>
        <item x="404"/>
        <item x="1275"/>
        <item x="756"/>
        <item x="762"/>
        <item x="950"/>
        <item x="19"/>
        <item x="780"/>
        <item x="1308"/>
        <item x="54"/>
        <item x="21"/>
        <item x="1213"/>
        <item x="149"/>
        <item x="58"/>
        <item x="596"/>
        <item x="213"/>
        <item x="1231"/>
        <item x="1426"/>
        <item x="173"/>
        <item x="1129"/>
        <item x="133"/>
        <item x="1135"/>
        <item x="707"/>
        <item x="222"/>
        <item x="122"/>
        <item x="23"/>
        <item x="1045"/>
        <item x="1157"/>
        <item x="958"/>
        <item x="710"/>
        <item x="859"/>
        <item x="713"/>
        <item x="67"/>
        <item x="74"/>
        <item x="4"/>
        <item x="398"/>
        <item x="2"/>
        <item x="225"/>
        <item x="1153"/>
        <item x="8"/>
        <item x="235"/>
        <item x="78"/>
        <item x="232"/>
        <item x="105"/>
        <item x="226"/>
        <item x="101"/>
        <item x="95"/>
        <item x="229"/>
        <item x="17"/>
        <item x="402"/>
        <item x="284"/>
        <item x="1252"/>
        <item x="99"/>
        <item x="1428"/>
        <item x="28"/>
        <item x="86"/>
        <item x="26"/>
        <item x="11"/>
        <item x="1225"/>
        <item x="88"/>
        <item x="75"/>
        <item x="62"/>
        <item x="1220"/>
        <item x="200"/>
        <item x="202"/>
        <item x="203"/>
        <item x="81"/>
        <item x="890"/>
        <item x="195"/>
        <item x="502"/>
        <item x="96"/>
        <item x="89"/>
        <item x="217"/>
        <item x="43"/>
        <item x="272"/>
        <item x="6"/>
        <item x="1260"/>
        <item x="183"/>
        <item x="1441"/>
        <item x="1436"/>
        <item x="170"/>
        <item x="1257"/>
        <item x="69"/>
        <item x="36"/>
        <item x="1199"/>
        <item x="1131"/>
        <item x="1433"/>
        <item x="201"/>
        <item x="186"/>
        <item x="1194"/>
        <item x="1197"/>
        <item x="924"/>
        <item x="1172"/>
        <item x="142"/>
        <item x="48"/>
        <item x="49"/>
        <item x="1151"/>
        <item x="341"/>
        <item x="34"/>
        <item x="1243"/>
        <item x="1440"/>
        <item x="1191"/>
        <item x="1247"/>
        <item x="1178"/>
        <item x="1239"/>
        <item x="1206"/>
        <item x="153"/>
        <item x="723"/>
        <item x="961"/>
        <item x="1227"/>
        <item x="45"/>
        <item x="39"/>
        <item x="70"/>
        <item x="220"/>
        <item x="1413"/>
        <item x="242"/>
        <item x="42"/>
        <item x="15"/>
        <item x="87"/>
        <item x="1409"/>
        <item x="515"/>
        <item x="13"/>
        <item x="44"/>
        <item x="938"/>
        <item x="497"/>
        <item x="835"/>
        <item x="1086"/>
        <item x="496"/>
        <item x="813"/>
        <item x="532"/>
        <item x="156"/>
        <item x="825"/>
        <item x="815"/>
        <item x="1338"/>
        <item x="160"/>
        <item x="545"/>
        <item x="533"/>
        <item x="159"/>
        <item x="316"/>
        <item x="158"/>
        <item x="155"/>
        <item x="157"/>
        <item x="317"/>
        <item x="154"/>
        <item x="814"/>
        <item x="824"/>
        <item x="1161"/>
        <item x="1149"/>
        <item x="1443"/>
        <item x="1276"/>
        <item x="1281"/>
        <item x="1245"/>
        <item x="1289"/>
        <item x="1437"/>
        <item x="1446"/>
        <item x="1447"/>
        <item x="1190"/>
        <item x="1278"/>
        <item x="1254"/>
        <item x="1448"/>
        <item x="1264"/>
        <item x="1189"/>
        <item x="1249"/>
        <item x="1332"/>
        <item x="1188"/>
        <item x="219"/>
        <item x="1187"/>
        <item x="1186"/>
        <item x="1207"/>
        <item x="1232"/>
        <item x="1179"/>
        <item x="1177"/>
        <item x="1175"/>
        <item x="0"/>
        <item x="32"/>
        <item x="1196"/>
        <item x="654"/>
        <item x="1233"/>
        <item x="1208"/>
        <item x="1195"/>
        <item x="660"/>
        <item x="1202"/>
        <item x="1159"/>
        <item x="1291"/>
        <item x="1333"/>
        <item x="1253"/>
        <item x="1266"/>
        <item x="1255"/>
        <item x="1284"/>
        <item x="1298"/>
        <item x="125"/>
        <item x="1438"/>
        <item x="31"/>
        <item x="1290"/>
        <item x="29"/>
        <item x="1444"/>
        <item x="1299"/>
        <item x="139"/>
        <item x="1279"/>
        <item x="24"/>
        <item x="1152"/>
        <item x="37"/>
        <item x="1150"/>
        <item x="41"/>
        <item x="1272"/>
        <item x="1184"/>
        <item x="12"/>
        <item x="179"/>
        <item x="712"/>
        <item x="1183"/>
        <item x="1168"/>
        <item x="836"/>
        <item x="1241"/>
        <item x="288"/>
        <item x="1148"/>
        <item x="63"/>
        <item x="930"/>
        <item x="1218"/>
        <item x="673"/>
        <item x="231"/>
        <item x="1147"/>
        <item x="1160"/>
        <item x="1132"/>
        <item x="1371"/>
        <item x="1097"/>
        <item x="263"/>
        <item x="120"/>
        <item x="1280"/>
        <item x="438"/>
        <item x="214"/>
        <item x="282"/>
        <item x="430"/>
        <item x="422"/>
        <item x="1158"/>
        <item x="1429"/>
        <item x="1445"/>
        <item x="399"/>
        <item x="1454"/>
        <item x="1273"/>
        <item x="1357"/>
        <item x="617"/>
        <item x="1359"/>
        <item x="876"/>
        <item x="30"/>
        <item x="1085"/>
        <item x="1242"/>
        <item x="536"/>
        <item x="389"/>
        <item x="1169"/>
        <item x="137"/>
        <item x="522"/>
        <item x="1182"/>
        <item x="1339"/>
        <item x="256"/>
        <item x="796"/>
        <item x="619"/>
        <item x="1320"/>
        <item x="134"/>
        <item x="919"/>
        <item x="1351"/>
        <item x="273"/>
        <item x="840"/>
        <item x="403"/>
        <item x="715"/>
        <item x="663"/>
        <item x="130"/>
        <item x="1302"/>
        <item x="1374"/>
        <item x="934"/>
        <item x="1432"/>
        <item x="1133"/>
        <item x="1410"/>
        <item x="287"/>
        <item x="1136"/>
        <item x="674"/>
        <item x="138"/>
        <item x="705"/>
        <item x="1098"/>
        <item x="1238"/>
        <item x="241"/>
        <item x="518"/>
        <item x="722"/>
        <item x="168"/>
        <item x="131"/>
        <item x="1251"/>
        <item x="1192"/>
        <item x="849"/>
        <item x="517"/>
        <item x="46"/>
        <item x="47"/>
        <item x="57"/>
        <item x="916"/>
        <item x="962"/>
        <item x="867"/>
        <item x="93"/>
        <item x="1042"/>
        <item x="1193"/>
        <item x="1099"/>
        <item x="394"/>
        <item x="1439"/>
        <item x="1212"/>
        <item x="1457"/>
        <item x="33"/>
        <item x="40"/>
        <item x="56"/>
        <item x="55"/>
        <item x="92"/>
        <item x="1198"/>
        <item x="460"/>
        <item x="1431"/>
        <item x="1434"/>
        <item x="1155"/>
        <item x="35"/>
        <item x="1250"/>
        <item x="1130"/>
        <item x="1256"/>
        <item x="7"/>
        <item x="182"/>
        <item x="1442"/>
        <item x="104"/>
        <item x="279"/>
        <item x="216"/>
        <item x="215"/>
        <item x="124"/>
        <item x="123"/>
        <item x="1123"/>
        <item x="1181"/>
        <item x="97"/>
        <item x="91"/>
        <item x="94"/>
        <item x="887"/>
        <item x="505"/>
        <item x="464"/>
        <item x="197"/>
        <item x="193"/>
        <item x="1219"/>
        <item x="933"/>
        <item x="85"/>
        <item x="1450"/>
        <item x="115"/>
        <item x="936"/>
        <item x="27"/>
        <item x="725"/>
        <item x="25"/>
        <item x="98"/>
        <item x="14"/>
        <item x="230"/>
        <item x="106"/>
        <item x="107"/>
        <item x="227"/>
        <item x="100"/>
        <item x="102"/>
        <item x="234"/>
        <item x="59"/>
        <item x="592"/>
        <item x="18"/>
        <item x="1154"/>
        <item x="1226"/>
        <item x="5"/>
        <item x="236"/>
        <item x="10"/>
        <item x="1353"/>
        <item x="237"/>
        <item x="9"/>
        <item x="1379"/>
        <item x="1"/>
        <item x="77"/>
        <item x="79"/>
        <item x="1270"/>
        <item x="714"/>
        <item x="83"/>
        <item x="143"/>
        <item x="1134"/>
        <item x="1156"/>
        <item x="3"/>
        <item x="146"/>
        <item x="1228"/>
        <item x="1128"/>
        <item x="38"/>
        <item x="221"/>
        <item x="121"/>
        <item x="20"/>
        <item x="177"/>
        <item x="1052"/>
        <item x="150"/>
        <item x="1214"/>
        <item x="22"/>
        <item x="427"/>
        <item x="1215"/>
        <item x="16"/>
        <item x="1307"/>
        <item x="764"/>
        <item x="781"/>
        <item x="728"/>
        <item x="778"/>
        <item x="127"/>
        <item x="784"/>
        <item x="769"/>
        <item x="466"/>
        <item x="1145"/>
        <item x="80"/>
        <item x="1144"/>
        <item x="1200"/>
        <item x="783"/>
        <item x="145"/>
        <item x="1137"/>
        <item x="1204"/>
        <item x="409"/>
        <item x="223"/>
        <item x="1069"/>
        <item x="406"/>
        <item x="414"/>
        <item x="437"/>
        <item x="1051"/>
        <item x="426"/>
        <item x="526"/>
        <item x="458"/>
        <item x="1139"/>
        <item x="178"/>
        <item x="1141"/>
        <item x="190"/>
        <item x="503"/>
        <item x="498"/>
        <item x="984"/>
        <item x="393"/>
        <item x="1216"/>
        <item x="418"/>
        <item x="420"/>
        <item x="542"/>
        <item x="386"/>
        <item x="1377"/>
        <item x="677"/>
        <item x="1103"/>
        <item x="433"/>
        <item x="387"/>
        <item x="301"/>
        <item x="416"/>
        <item x="1107"/>
        <item x="135"/>
        <item x="755"/>
        <item x="116"/>
        <item x="1263"/>
        <item x="109"/>
        <item x="681"/>
        <item x="1083"/>
        <item x="189"/>
        <item x="1106"/>
        <item x="111"/>
        <item x="1109"/>
        <item x="113"/>
        <item x="1210"/>
        <item x="194"/>
        <item x="432"/>
        <item x="338"/>
        <item x="252"/>
        <item x="340"/>
        <item x="1329"/>
        <item x="339"/>
        <item x="359"/>
        <item x="302"/>
        <item x="360"/>
        <item x="1101"/>
        <item x="1127"/>
        <item x="384"/>
        <item x="1369"/>
        <item x="303"/>
        <item x="140"/>
        <item x="760"/>
        <item x="1262"/>
        <item x="1269"/>
        <item x="1367"/>
        <item x="785"/>
        <item x="254"/>
        <item x="1354"/>
        <item x="1267"/>
        <item x="1384"/>
        <item x="1373"/>
        <item x="1424"/>
        <item x="774"/>
        <item x="1386"/>
        <item x="50"/>
        <item x="1376"/>
        <item x="1366"/>
        <item x="1422"/>
        <item x="556"/>
        <item x="1033"/>
        <item x="1401"/>
        <item x="1394"/>
        <item x="1388"/>
        <item x="52"/>
        <item x="1397"/>
        <item x="794"/>
        <item x="1403"/>
        <item x="531"/>
        <item x="278"/>
        <item x="561"/>
        <item x="537"/>
        <item x="64"/>
        <item x="60"/>
        <item x="1025"/>
        <item x="175"/>
        <item x="1031"/>
        <item x="1039"/>
        <item x="606"/>
        <item x="543"/>
        <item x="281"/>
        <item x="1118"/>
        <item x="733"/>
        <item x="1110"/>
        <item x="975"/>
        <item x="754"/>
        <item x="622"/>
        <item x="129"/>
        <item x="401"/>
        <item x="629"/>
        <item x="207"/>
        <item x="239"/>
        <item x="633"/>
        <item x="634"/>
        <item x="84"/>
        <item x="71"/>
        <item x="72"/>
        <item x="73"/>
        <item x="1013"/>
        <item x="1314"/>
        <item x="224"/>
        <item x="913"/>
        <item x="1312"/>
        <item x="1124"/>
        <item x="1313"/>
        <item x="1065"/>
        <item x="1079"/>
        <item x="1054"/>
        <item x="415"/>
        <item x="635"/>
        <item x="204"/>
        <item x="412"/>
        <item x="995"/>
        <item x="462"/>
        <item x="1071"/>
        <item x="1004"/>
        <item x="1011"/>
        <item x="1075"/>
        <item x="656"/>
        <item x="766"/>
        <item x="638"/>
        <item x="1095"/>
        <item x="1077"/>
        <item x="1399"/>
        <item x="408"/>
        <item x="809"/>
        <item x="684"/>
        <item x="1080"/>
        <item x="1092"/>
        <item x="206"/>
        <item x="1073"/>
        <item x="1057"/>
        <item x="589"/>
        <item x="478"/>
        <item x="504"/>
        <item x="937"/>
        <item x="1326"/>
        <item x="1337"/>
        <item x="1416"/>
        <item x="737"/>
        <item x="1043"/>
        <item x="740"/>
        <item x="558"/>
        <item x="818"/>
        <item x="921"/>
        <item x="765"/>
        <item x="776"/>
        <item x="1342"/>
        <item x="255"/>
        <item x="1078"/>
        <item x="1321"/>
        <item x="1328"/>
        <item x="866"/>
        <item x="1336"/>
        <item x="1334"/>
        <item x="918"/>
        <item x="926"/>
        <item x="1325"/>
        <item x="147"/>
        <item x="1417"/>
        <item x="788"/>
        <item x="1029"/>
        <item x="1420"/>
        <item x="1344"/>
        <item x="759"/>
        <item x="870"/>
        <item x="581"/>
        <item x="144"/>
        <item x="777"/>
        <item x="1421"/>
        <item x="863"/>
        <item x="1406"/>
        <item x="1408"/>
        <item x="803"/>
        <item x="1090"/>
        <item x="569"/>
        <item x="524"/>
        <item x="771"/>
        <item x="1088"/>
        <item x="397"/>
        <item x="793"/>
        <item x="791"/>
        <item x="499"/>
        <item x="894"/>
        <item x="564"/>
        <item x="1414"/>
        <item x="1303"/>
        <item x="848"/>
        <item x="1236"/>
        <item x="1234"/>
        <item x="798"/>
        <item x="888"/>
        <item x="906"/>
        <item x="355"/>
        <item x="1030"/>
        <item x="582"/>
        <item x="987"/>
        <item x="550"/>
        <item x="845"/>
        <item x="817"/>
        <item x="1319"/>
        <item x="826"/>
        <item x="883"/>
        <item x="385"/>
        <item x="434"/>
        <item x="1455"/>
        <item x="1024"/>
        <item x="877"/>
        <item x="842"/>
        <item x="874"/>
        <item x="829"/>
        <item x="821"/>
        <item x="1047"/>
        <item x="1046"/>
        <item x="1296"/>
        <item x="530"/>
        <item x="362"/>
        <item x="228"/>
        <item x="687"/>
        <item x="1283"/>
        <item x="1306"/>
        <item x="527"/>
        <item x="1355"/>
        <item x="1301"/>
        <item x="979"/>
        <item x="451"/>
        <item x="161"/>
        <item x="1286"/>
        <item x="998"/>
        <item x="588"/>
        <item x="734"/>
        <item x="1064"/>
        <item x="511"/>
        <item x="395"/>
        <item x="730"/>
        <item x="922"/>
        <item x="1070"/>
        <item x="454"/>
        <item x="965"/>
        <item x="750"/>
        <item x="963"/>
        <item x="1361"/>
        <item x="349"/>
        <item x="928"/>
        <item x="967"/>
        <item x="348"/>
        <item x="743"/>
        <item x="1094"/>
        <item x="745"/>
        <item x="352"/>
        <item x="735"/>
        <item x="1038"/>
        <item x="354"/>
        <item x="716"/>
        <item x="978"/>
        <item x="471"/>
        <item x="742"/>
        <item x="1288"/>
        <item x="997"/>
        <item x="881"/>
        <item x="577"/>
        <item x="719"/>
        <item x="557"/>
        <item x="1380"/>
        <item x="986"/>
        <item x="620"/>
        <item x="711"/>
        <item x="895"/>
        <item x="1292"/>
        <item x="891"/>
        <item x="640"/>
        <item x="951"/>
        <item x="959"/>
        <item x="939"/>
        <item x="649"/>
        <item x="1295"/>
        <item x="948"/>
        <item x="608"/>
        <item x="312"/>
        <item x="576"/>
        <item x="799"/>
        <item x="597"/>
        <item x="308"/>
        <item x="1120"/>
        <item x="641"/>
        <item x="1017"/>
        <item x="832"/>
        <item x="322"/>
        <item x="864"/>
        <item x="822"/>
        <item x="476"/>
        <item x="875"/>
        <item x="481"/>
        <item x="469"/>
        <item x="261"/>
        <item x="908"/>
        <item x="932"/>
        <item x="423"/>
        <item x="1322"/>
        <item x="166"/>
        <item x="163"/>
        <item x="164"/>
        <item x="1221"/>
        <item x="484"/>
        <item x="751"/>
        <item x="843"/>
        <item x="900"/>
        <item x="905"/>
        <item x="860"/>
        <item x="1229"/>
        <item x="648"/>
        <item x="461"/>
        <item x="857"/>
        <item x="1205"/>
        <item x="1223"/>
        <item x="679"/>
        <item x="884"/>
        <item x="198"/>
        <item x="753"/>
        <item x="878"/>
        <item x="831"/>
        <item x="872"/>
        <item x="703"/>
        <item x="247"/>
        <item x="690"/>
        <item x="1173"/>
        <item x="210"/>
        <item x="271"/>
        <item x="275"/>
        <item x="171"/>
        <item x="546"/>
        <item x="212"/>
        <item x="264"/>
        <item x="269"/>
        <item x="1053"/>
        <item x="701"/>
        <item x="698"/>
        <item x="706"/>
        <item x="693"/>
        <item x="699"/>
        <item x="898"/>
        <item x="369"/>
        <item x="695"/>
        <item x="367"/>
        <item x="368"/>
        <item x="670"/>
        <item x="1006"/>
        <item x="665"/>
        <item x="782"/>
        <item x="726"/>
        <item x="720"/>
        <item x="910"/>
        <item x="1081"/>
        <item x="689"/>
        <item x="912"/>
        <item x="1008"/>
        <item x="151"/>
        <item x="1346"/>
        <item x="1430"/>
        <item x="1412"/>
        <item x="971"/>
        <item x="1404"/>
        <item x="645"/>
        <item x="747"/>
        <item x="667"/>
        <item x="806"/>
        <item x="668"/>
        <item x="675"/>
        <item x="1015"/>
        <item x="612"/>
        <item x="661"/>
        <item x="1274"/>
        <item x="1363"/>
        <item x="594"/>
        <item x="644"/>
        <item x="1449"/>
        <item x="331"/>
        <item x="540"/>
        <item x="358"/>
        <item x="1049"/>
        <item x="337"/>
        <item x="472"/>
        <item x="1246"/>
        <item x="479"/>
        <item x="491"/>
        <item x="306"/>
        <item x="1164"/>
        <item x="304"/>
        <item x="1060"/>
        <item x="1258"/>
        <item x="625"/>
        <item x="1389"/>
        <item x="801"/>
        <item x="600"/>
        <item x="990"/>
        <item x="289"/>
        <item x="632"/>
        <item x="1113"/>
        <item x="1010"/>
        <item x="624"/>
        <item x="970"/>
        <item x="1453"/>
        <item x="956"/>
        <item x="947"/>
        <item x="1171"/>
        <item x="901"/>
        <item x="293"/>
        <item x="811"/>
        <item x="953"/>
        <item x="929"/>
        <item x="297"/>
        <item x="266"/>
        <item x="563"/>
        <item x="259"/>
        <item x="807"/>
        <item x="313"/>
        <item x="486"/>
        <item x="838"/>
        <item x="1020"/>
        <item x="1036"/>
        <item x="315"/>
        <item x="579"/>
        <item x="493"/>
        <item x="571"/>
        <item x="553"/>
        <item x="980"/>
        <item x="65"/>
        <item x="450"/>
        <item x="457"/>
        <item x="465"/>
        <item x="245"/>
        <item x="185"/>
        <item x="1001"/>
        <item x="378"/>
        <item x="507"/>
        <item x="285"/>
        <item x="371"/>
        <item x="253"/>
        <item x="856"/>
        <item x="853"/>
        <item x="850"/>
        <item x="854"/>
        <item x="945"/>
        <item x="1456"/>
        <item x="1002"/>
        <item x="991"/>
        <item x="519"/>
        <item x="250"/>
        <item x="574"/>
        <item x="328"/>
        <item x="326"/>
        <item x="305"/>
        <item x="329"/>
        <item x="291"/>
        <item x="691"/>
        <item x="1309"/>
        <item x="1318"/>
        <item x="586"/>
        <item x="614"/>
        <item x="616"/>
        <item x="647"/>
        <item x="390"/>
        <item x="344"/>
        <item x="514"/>
        <item x="941"/>
        <item x="599"/>
        <item x="610"/>
        <item x="559"/>
        <item x="547"/>
        <item x="653"/>
        <item x="655"/>
        <item x="659"/>
        <item x="376"/>
        <item x="671"/>
        <item x="441"/>
        <item x="603"/>
        <item x="566"/>
        <item x="380"/>
        <item x="364"/>
        <item x="1112"/>
        <item x="1115"/>
        <item x="1166"/>
        <item x="1162"/>
        <item x="1460"/>
        <item t="default"/>
      </items>
    </pivotField>
    <pivotField compact="0" showAll="0">
      <items count="1629">
        <item x="661"/>
        <item x="656"/>
        <item x="923"/>
        <item x="1363"/>
        <item x="640"/>
        <item x="606"/>
        <item x="877"/>
        <item x="809"/>
        <item x="812"/>
        <item x="773"/>
        <item x="992"/>
        <item x="605"/>
        <item x="984"/>
        <item x="588"/>
        <item x="746"/>
        <item x="822"/>
        <item x="824"/>
        <item x="878"/>
        <item x="1618"/>
        <item x="931"/>
        <item x="985"/>
        <item x="901"/>
        <item x="748"/>
        <item x="979"/>
        <item x="993"/>
        <item x="962"/>
        <item x="753"/>
        <item x="725"/>
        <item x="983"/>
        <item x="601"/>
        <item x="666"/>
        <item x="713"/>
        <item x="747"/>
        <item x="929"/>
        <item x="850"/>
        <item x="680"/>
        <item x="961"/>
        <item x="798"/>
        <item x="924"/>
        <item x="897"/>
        <item x="754"/>
        <item x="665"/>
        <item x="928"/>
        <item x="668"/>
        <item x="948"/>
        <item x="842"/>
        <item x="686"/>
        <item x="641"/>
        <item x="681"/>
        <item x="920"/>
        <item x="793"/>
        <item x="1006"/>
        <item x="752"/>
        <item x="846"/>
        <item x="843"/>
        <item x="749"/>
        <item x="864"/>
        <item x="825"/>
        <item x="738"/>
        <item x="766"/>
        <item x="1344"/>
        <item x="645"/>
        <item x="774"/>
        <item x="994"/>
        <item x="697"/>
        <item x="702"/>
        <item x="1340"/>
        <item x="719"/>
        <item x="869"/>
        <item x="900"/>
        <item x="892"/>
        <item x="861"/>
        <item x="986"/>
        <item x="647"/>
        <item x="714"/>
        <item x="1339"/>
        <item x="982"/>
        <item x="902"/>
        <item x="980"/>
        <item x="883"/>
        <item x="1349"/>
        <item x="1353"/>
        <item x="1337"/>
        <item x="679"/>
        <item x="965"/>
        <item x="963"/>
        <item x="786"/>
        <item x="792"/>
        <item x="802"/>
        <item x="751"/>
        <item x="806"/>
        <item x="760"/>
        <item x="762"/>
        <item x="744"/>
        <item x="816"/>
        <item x="734"/>
        <item x="1161"/>
        <item x="823"/>
        <item x="820"/>
        <item x="612"/>
        <item x="860"/>
        <item x="855"/>
        <item x="1388"/>
        <item x="739"/>
        <item x="856"/>
        <item x="898"/>
        <item x="868"/>
        <item x="718"/>
        <item x="783"/>
        <item x="728"/>
        <item x="870"/>
        <item x="1005"/>
        <item x="696"/>
        <item x="726"/>
        <item x="644"/>
        <item x="991"/>
        <item x="663"/>
        <item x="745"/>
        <item x="1357"/>
        <item x="642"/>
        <item x="1001"/>
        <item x="737"/>
        <item x="1003"/>
        <item x="949"/>
        <item x="722"/>
        <item x="926"/>
        <item x="1030"/>
        <item x="1012"/>
        <item x="839"/>
        <item x="947"/>
        <item x="1247"/>
        <item x="1155"/>
        <item x="1017"/>
        <item x="1015"/>
        <item x="706"/>
        <item x="852"/>
        <item x="742"/>
        <item x="995"/>
        <item x="853"/>
        <item x="1143"/>
        <item x="1043"/>
        <item x="750"/>
        <item x="880"/>
        <item x="1160"/>
        <item x="614"/>
        <item x="885"/>
        <item x="814"/>
        <item x="699"/>
        <item x="1055"/>
        <item x="767"/>
        <item x="981"/>
        <item x="837"/>
        <item x="1182"/>
        <item x="1521"/>
        <item x="764"/>
        <item x="736"/>
        <item x="921"/>
        <item x="987"/>
        <item x="1007"/>
        <item x="1426"/>
        <item x="1245"/>
        <item x="1556"/>
        <item x="593"/>
        <item x="707"/>
        <item x="1508"/>
        <item x="1133"/>
        <item x="831"/>
        <item x="741"/>
        <item x="743"/>
        <item x="887"/>
        <item x="1132"/>
        <item x="1423"/>
        <item x="220"/>
        <item x="854"/>
        <item x="1491"/>
        <item x="975"/>
        <item x="1407"/>
        <item x="1462"/>
        <item x="1410"/>
        <item x="1414"/>
        <item x="1430"/>
        <item x="1439"/>
        <item x="1392"/>
        <item x="1395"/>
        <item x="964"/>
        <item x="1411"/>
        <item x="1358"/>
        <item x="890"/>
        <item x="761"/>
        <item x="0"/>
        <item x="1058"/>
        <item x="1242"/>
        <item x="730"/>
        <item x="589"/>
        <item x="932"/>
        <item x="1045"/>
        <item x="638"/>
        <item x="222"/>
        <item x="698"/>
        <item x="131"/>
        <item x="1067"/>
        <item x="800"/>
        <item x="1557"/>
        <item x="865"/>
        <item x="670"/>
        <item x="1341"/>
        <item x="1554"/>
        <item x="1346"/>
        <item x="1338"/>
        <item x="1239"/>
        <item x="1254"/>
        <item x="1236"/>
        <item x="1384"/>
        <item x="1342"/>
        <item x="1144"/>
        <item x="1135"/>
        <item x="1244"/>
        <item x="1189"/>
        <item x="1134"/>
        <item x="1136"/>
        <item x="657"/>
        <item x="1617"/>
        <item x="1559"/>
        <item x="1347"/>
        <item x="1558"/>
        <item x="1348"/>
        <item x="650"/>
        <item x="1046"/>
        <item x="1261"/>
        <item x="1009"/>
        <item x="1259"/>
        <item x="1260"/>
        <item x="1159"/>
        <item x="1157"/>
        <item x="32"/>
        <item x="33"/>
        <item x="34"/>
        <item x="35"/>
        <item x="1048"/>
        <item x="1049"/>
        <item x="79"/>
        <item x="1162"/>
        <item x="1047"/>
        <item x="38"/>
        <item x="132"/>
        <item x="1050"/>
        <item x="717"/>
        <item x="771"/>
        <item x="16"/>
        <item x="1059"/>
        <item x="149"/>
        <item x="1614"/>
        <item x="1613"/>
        <item x="1612"/>
        <item x="1611"/>
        <item x="1610"/>
        <item x="1609"/>
        <item x="1608"/>
        <item x="1607"/>
        <item x="1606"/>
        <item x="1605"/>
        <item x="1604"/>
        <item x="1603"/>
        <item x="1602"/>
        <item x="1601"/>
        <item x="1600"/>
        <item x="1599"/>
        <item x="1598"/>
        <item x="1597"/>
        <item x="1541"/>
        <item x="1596"/>
        <item x="1595"/>
        <item x="1594"/>
        <item x="899"/>
        <item x="1593"/>
        <item x="1592"/>
        <item x="1591"/>
        <item x="1590"/>
        <item x="1589"/>
        <item x="1588"/>
        <item x="1587"/>
        <item x="1586"/>
        <item x="1585"/>
        <item x="1584"/>
        <item x="1583"/>
        <item x="1582"/>
        <item x="1581"/>
        <item x="1580"/>
        <item x="1579"/>
        <item x="1578"/>
        <item x="1577"/>
        <item x="1576"/>
        <item x="1575"/>
        <item x="1574"/>
        <item x="1573"/>
        <item x="1572"/>
        <item x="1571"/>
        <item x="1570"/>
        <item x="628"/>
        <item x="1569"/>
        <item x="1568"/>
        <item x="1567"/>
        <item x="1566"/>
        <item x="1565"/>
        <item x="1564"/>
        <item x="1563"/>
        <item x="1562"/>
        <item x="1560"/>
        <item x="1561"/>
        <item x="796"/>
        <item x="1622"/>
        <item x="1619"/>
        <item x="1620"/>
        <item x="198"/>
        <item x="826"/>
        <item x="797"/>
        <item x="1296"/>
        <item x="1295"/>
        <item x="1294"/>
        <item x="1293"/>
        <item x="1292"/>
        <item x="1291"/>
        <item x="1290"/>
        <item x="1289"/>
        <item x="1288"/>
        <item x="1287"/>
        <item x="1286"/>
        <item x="1285"/>
        <item x="1284"/>
        <item x="1283"/>
        <item x="1282"/>
        <item x="1131"/>
        <item x="1281"/>
        <item x="1130"/>
        <item x="1040"/>
        <item x="1129"/>
        <item x="1280"/>
        <item x="1128"/>
        <item x="1126"/>
        <item x="1279"/>
        <item x="1278"/>
        <item x="1277"/>
        <item x="1276"/>
        <item x="1275"/>
        <item x="1274"/>
        <item x="200"/>
        <item x="1273"/>
        <item x="1272"/>
        <item x="1271"/>
        <item x="1270"/>
        <item x="1269"/>
        <item x="1268"/>
        <item x="1267"/>
        <item x="1266"/>
        <item x="1265"/>
        <item x="1264"/>
        <item x="1262"/>
        <item x="1263"/>
        <item x="1149"/>
        <item x="1148"/>
        <item x="1147"/>
        <item x="1145"/>
        <item x="1000"/>
        <item x="1052"/>
        <item x="1053"/>
        <item x="1054"/>
        <item x="1443"/>
        <item x="237"/>
        <item x="290"/>
        <item x="1139"/>
        <item x="1137"/>
        <item x="1033"/>
        <item x="1068"/>
        <item x="1142"/>
        <item x="1140"/>
        <item x="1034"/>
        <item x="821"/>
        <item x="196"/>
        <item x="150"/>
        <item x="265"/>
        <item x="930"/>
        <item x="765"/>
        <item x="87"/>
        <item x="918"/>
        <item x="795"/>
        <item x="1368"/>
        <item x="1367"/>
        <item x="1366"/>
        <item x="1365"/>
        <item x="712"/>
        <item x="25"/>
        <item x="2"/>
        <item x="629"/>
        <item x="20"/>
        <item x="1387"/>
        <item x="1386"/>
        <item x="803"/>
        <item x="872"/>
        <item x="801"/>
        <item x="1037"/>
        <item x="1060"/>
        <item x="1061"/>
        <item x="700"/>
        <item x="278"/>
        <item x="1063"/>
        <item x="664"/>
        <item x="1062"/>
        <item x="1029"/>
        <item x="274"/>
        <item x="279"/>
        <item x="153"/>
        <item x="156"/>
        <item x="262"/>
        <item x="267"/>
        <item x="260"/>
        <item x="692"/>
        <item x="7"/>
        <item x="281"/>
        <item x="302"/>
        <item x="685"/>
        <item x="790"/>
        <item x="1351"/>
        <item x="1350"/>
        <item x="789"/>
        <item x="788"/>
        <item x="140"/>
        <item x="450"/>
        <item x="871"/>
        <item x="134"/>
        <item x="239"/>
        <item x="724"/>
        <item x="1035"/>
        <item x="4"/>
        <item x="27"/>
        <item x="175"/>
        <item x="174"/>
        <item x="443"/>
        <item x="173"/>
        <item x="69"/>
        <item x="70"/>
        <item x="1042"/>
        <item x="172"/>
        <item x="171"/>
        <item x="782"/>
        <item x="29"/>
        <item x="30"/>
        <item x="170"/>
        <item x="808"/>
        <item x="9"/>
        <item x="781"/>
        <item x="780"/>
        <item x="169"/>
        <item x="31"/>
        <item x="306"/>
        <item x="168"/>
        <item x="167"/>
        <item x="15"/>
        <item x="1069"/>
        <item x="779"/>
        <item x="671"/>
        <item x="558"/>
        <item x="468"/>
        <item x="561"/>
        <item x="570"/>
        <item x="913"/>
        <item x="138"/>
        <item x="569"/>
        <item x="470"/>
        <item x="568"/>
        <item x="255"/>
        <item x="303"/>
        <item x="559"/>
        <item x="304"/>
        <item x="876"/>
        <item x="1251"/>
        <item x="1250"/>
        <item x="1249"/>
        <item x="1246"/>
        <item x="1248"/>
        <item x="23"/>
        <item x="24"/>
        <item x="552"/>
        <item x="89"/>
        <item x="189"/>
        <item x="1038"/>
        <item x="811"/>
        <item x="1010"/>
        <item x="151"/>
        <item x="152"/>
        <item x="1197"/>
        <item x="1196"/>
        <item x="1195"/>
        <item x="1194"/>
        <item x="1193"/>
        <item x="257"/>
        <item x="581"/>
        <item x="384"/>
        <item x="597"/>
        <item x="185"/>
        <item x="64"/>
        <item x="693"/>
        <item x="47"/>
        <item x="1086"/>
        <item x="1085"/>
        <item x="1084"/>
        <item x="395"/>
        <item x="1212"/>
        <item x="1211"/>
        <item x="1210"/>
        <item x="1209"/>
        <item x="1208"/>
        <item x="1207"/>
        <item x="1206"/>
        <item x="1205"/>
        <item x="1204"/>
        <item x="1203"/>
        <item x="1202"/>
        <item x="1319"/>
        <item x="1318"/>
        <item x="1317"/>
        <item x="1316"/>
        <item x="1315"/>
        <item x="1314"/>
        <item x="1215"/>
        <item x="1313"/>
        <item x="1214"/>
        <item x="1213"/>
        <item x="1312"/>
        <item x="1311"/>
        <item x="1310"/>
        <item x="1309"/>
        <item x="1308"/>
        <item x="1307"/>
        <item x="1306"/>
        <item x="1305"/>
        <item x="1304"/>
        <item x="1303"/>
        <item x="1302"/>
        <item x="1301"/>
        <item x="1181"/>
        <item x="1180"/>
        <item x="1179"/>
        <item x="1178"/>
        <item x="1177"/>
        <item x="1176"/>
        <item x="1175"/>
        <item x="1174"/>
        <item x="1173"/>
        <item x="1172"/>
        <item x="1171"/>
        <item x="1336"/>
        <item x="1335"/>
        <item x="1334"/>
        <item x="1333"/>
        <item x="1332"/>
        <item x="1331"/>
        <item x="1330"/>
        <item x="1329"/>
        <item x="1328"/>
        <item x="1327"/>
        <item x="1326"/>
        <item x="1325"/>
        <item x="1324"/>
        <item x="1323"/>
        <item x="1322"/>
        <item x="1321"/>
        <item x="1320"/>
        <item x="1217"/>
        <item x="1216"/>
        <item x="688"/>
        <item x="1021"/>
        <item x="446"/>
        <item x="1125"/>
        <item x="1124"/>
        <item x="1123"/>
        <item x="1122"/>
        <item x="1121"/>
        <item x="1120"/>
        <item x="146"/>
        <item x="1119"/>
        <item x="1118"/>
        <item x="1117"/>
        <item x="1116"/>
        <item x="1115"/>
        <item x="1114"/>
        <item x="1113"/>
        <item x="1112"/>
        <item x="1111"/>
        <item x="1110"/>
        <item x="1109"/>
        <item x="1108"/>
        <item x="1107"/>
        <item x="1106"/>
        <item x="1105"/>
        <item x="1104"/>
        <item x="1103"/>
        <item x="1102"/>
        <item x="1101"/>
        <item x="1100"/>
        <item x="1099"/>
        <item x="1098"/>
        <item x="1097"/>
        <item x="1096"/>
        <item x="1095"/>
        <item x="1094"/>
        <item x="655"/>
        <item x="101"/>
        <item x="704"/>
        <item x="252"/>
        <item x="690"/>
        <item x="250"/>
        <item x="397"/>
        <item x="660"/>
        <item x="147"/>
        <item x="300"/>
        <item x="683"/>
        <item x="423"/>
        <item x="906"/>
        <item x="1079"/>
        <item x="1078"/>
        <item x="1077"/>
        <item x="13"/>
        <item x="990"/>
        <item x="460"/>
        <item x="1235"/>
        <item x="1234"/>
        <item x="60"/>
        <item x="236"/>
        <item x="235"/>
        <item x="11"/>
        <item x="12"/>
        <item x="1229"/>
        <item x="1228"/>
        <item x="1227"/>
        <item x="1226"/>
        <item x="1225"/>
        <item x="1224"/>
        <item x="1223"/>
        <item x="1222"/>
        <item x="425"/>
        <item x="909"/>
        <item x="410"/>
        <item x="540"/>
        <item x="859"/>
        <item x="78"/>
        <item x="18"/>
        <item x="56"/>
        <item x="1184"/>
        <item x="1183"/>
        <item x="93"/>
        <item x="705"/>
        <item x="177"/>
        <item x="163"/>
        <item x="429"/>
        <item x="537"/>
        <item x="784"/>
        <item x="541"/>
        <item x="431"/>
        <item x="46"/>
        <item x="48"/>
        <item x="54"/>
        <item x="52"/>
        <item x="166"/>
        <item x="226"/>
        <item x="228"/>
        <item x="960"/>
        <item x="1127"/>
        <item x="1555"/>
        <item x="1156"/>
        <item x="5"/>
        <item x="1626"/>
        <item x="36"/>
        <item x="1051"/>
        <item x="276"/>
        <item x="1011"/>
        <item x="978"/>
        <item x="155"/>
        <item x="548"/>
        <item x="45"/>
        <item x="51"/>
        <item x="49"/>
        <item x="44"/>
        <item x="1002"/>
        <item x="1138"/>
        <item x="927"/>
        <item x="61"/>
        <item x="1056"/>
        <item x="37"/>
        <item x="1032"/>
        <item x="1241"/>
        <item x="1240"/>
        <item x="1141"/>
        <item x="1553"/>
        <item x="1552"/>
        <item x="197"/>
        <item x="284"/>
        <item x="286"/>
        <item x="858"/>
        <item x="219"/>
        <item x="998"/>
        <item x="191"/>
        <item x="293"/>
        <item x="1453"/>
        <item x="184"/>
        <item x="53"/>
        <item x="1004"/>
        <item x="1027"/>
        <item x="135"/>
        <item x="107"/>
        <item x="1237"/>
        <item x="835"/>
        <item x="1164"/>
        <item x="1163"/>
        <item x="896"/>
        <item x="866"/>
        <item x="563"/>
        <item x="77"/>
        <item x="950"/>
        <item x="57"/>
        <item x="565"/>
        <item x="867"/>
        <item x="954"/>
        <item x="943"/>
        <item x="546"/>
        <item x="40"/>
        <item x="68"/>
        <item x="401"/>
        <item x="114"/>
        <item x="102"/>
        <item x="709"/>
        <item x="1538"/>
        <item x="1238"/>
        <item x="50"/>
        <item x="26"/>
        <item x="840"/>
        <item x="28"/>
        <item x="611"/>
        <item x="316"/>
        <item x="477"/>
        <item x="62"/>
        <item x="6"/>
        <item x="1"/>
        <item x="8"/>
        <item x="1057"/>
        <item x="88"/>
        <item x="10"/>
        <item x="157"/>
        <item x="1031"/>
        <item x="1185"/>
        <item x="65"/>
        <item x="1188"/>
        <item x="1187"/>
        <item x="3"/>
        <item x="299"/>
        <item x="39"/>
        <item x="1036"/>
        <item x="67"/>
        <item x="996"/>
        <item x="133"/>
        <item x="14"/>
        <item x="238"/>
        <item x="251"/>
        <item x="90"/>
        <item x="253"/>
        <item x="1158"/>
        <item x="21"/>
        <item x="22"/>
        <item x="17"/>
        <item x="1355"/>
        <item x="1354"/>
        <item x="145"/>
        <item x="19"/>
        <item x="63"/>
        <item x="43"/>
        <item x="130"/>
        <item x="1044"/>
        <item x="755"/>
        <item x="86"/>
        <item x="1146"/>
        <item x="212"/>
        <item x="139"/>
        <item x="94"/>
        <item x="41"/>
        <item x="42"/>
        <item x="393"/>
        <item x="240"/>
        <item x="59"/>
        <item x="967"/>
        <item x="1041"/>
        <item x="1039"/>
        <item x="442"/>
        <item x="444"/>
        <item x="296"/>
        <item x="103"/>
        <item x="162"/>
        <item x="164"/>
        <item x="354"/>
        <item x="424"/>
        <item x="673"/>
        <item x="1014"/>
        <item x="218"/>
        <item x="243"/>
        <item x="727"/>
        <item x="907"/>
        <item x="136"/>
        <item x="137"/>
        <item x="1016"/>
        <item x="106"/>
        <item x="108"/>
        <item x="729"/>
        <item x="92"/>
        <item x="110"/>
        <item x="115"/>
        <item x="988"/>
        <item x="112"/>
        <item x="117"/>
        <item x="432"/>
        <item x="411"/>
        <item x="1008"/>
        <item x="448"/>
        <item x="449"/>
        <item x="1252"/>
        <item x="1253"/>
        <item x="345"/>
        <item x="100"/>
        <item x="451"/>
        <item x="268"/>
        <item x="533"/>
        <item x="148"/>
        <item x="1459"/>
        <item x="1458"/>
        <item x="1437"/>
        <item x="1436"/>
        <item x="1438"/>
        <item x="104"/>
        <item x="735"/>
        <item x="1461"/>
        <item x="1460"/>
        <item x="1257"/>
        <item x="1441"/>
        <item x="1440"/>
        <item x="1429"/>
        <item x="1434"/>
        <item x="1428"/>
        <item x="1255"/>
        <item x="1256"/>
        <item x="154"/>
        <item x="1465"/>
        <item x="1464"/>
        <item x="1466"/>
        <item x="1463"/>
        <item x="439"/>
        <item x="1455"/>
        <item x="1454"/>
        <item x="440"/>
        <item x="1432"/>
        <item x="1431"/>
        <item x="1442"/>
        <item x="1450"/>
        <item x="1449"/>
        <item x="1448"/>
        <item x="1447"/>
        <item x="1446"/>
        <item x="1445"/>
        <item x="1444"/>
        <item x="586"/>
        <item x="1477"/>
        <item x="1468"/>
        <item x="1476"/>
        <item x="1467"/>
        <item x="1492"/>
        <item x="1522"/>
        <item x="1503"/>
        <item x="1480"/>
        <item x="549"/>
        <item x="952"/>
        <item x="192"/>
        <item x="195"/>
        <item x="1483"/>
        <item x="1482"/>
        <item x="1481"/>
        <item x="905"/>
        <item x="763"/>
        <item x="972"/>
        <item x="474"/>
        <item x="455"/>
        <item x="582"/>
        <item x="409"/>
        <item x="188"/>
        <item x="124"/>
        <item x="122"/>
        <item x="551"/>
        <item x="343"/>
        <item x="71"/>
        <item x="939"/>
        <item x="120"/>
        <item x="621"/>
        <item x="126"/>
        <item x="557"/>
        <item x="560"/>
        <item x="412"/>
        <item x="1024"/>
        <item x="957"/>
        <item x="594"/>
        <item x="422"/>
        <item x="190"/>
        <item x="1026"/>
        <item x="1018"/>
        <item x="418"/>
        <item x="215"/>
        <item x="217"/>
        <item x="731"/>
        <item x="631"/>
        <item x="221"/>
        <item x="636"/>
        <item x="637"/>
        <item x="639"/>
        <item x="80"/>
        <item x="55"/>
        <item x="85"/>
        <item x="934"/>
        <item x="213"/>
        <item x="141"/>
        <item x="710"/>
        <item x="1362"/>
        <item x="851"/>
        <item x="1360"/>
        <item x="1359"/>
        <item x="254"/>
        <item x="256"/>
        <item x="643"/>
        <item x="648"/>
        <item x="999"/>
        <item x="933"/>
        <item x="919"/>
        <item x="566"/>
        <item x="740"/>
        <item x="881"/>
        <item x="922"/>
        <item x="974"/>
        <item x="776"/>
        <item x="208"/>
        <item x="678"/>
        <item x="91"/>
        <item x="675"/>
        <item x="677"/>
        <item x="223"/>
        <item x="225"/>
        <item x="989"/>
        <item x="99"/>
        <item x="733"/>
        <item x="242"/>
        <item x="1545"/>
        <item x="1544"/>
        <item x="1543"/>
        <item x="959"/>
        <item x="1406"/>
        <item x="1405"/>
        <item x="1404"/>
        <item x="968"/>
        <item x="244"/>
        <item x="315"/>
        <item x="1391"/>
        <item x="1390"/>
        <item x="1389"/>
        <item x="1381"/>
        <item x="1380"/>
        <item x="758"/>
        <item x="716"/>
        <item x="1550"/>
        <item x="1549"/>
        <item x="1548"/>
        <item x="1409"/>
        <item x="1408"/>
        <item x="756"/>
        <item x="264"/>
        <item x="886"/>
        <item x="292"/>
        <item x="1375"/>
        <item x="1396"/>
        <item x="1374"/>
        <item x="317"/>
        <item x="109"/>
        <item x="105"/>
        <item x="818"/>
        <item x="1378"/>
        <item x="1377"/>
        <item x="1385"/>
        <item x="607"/>
        <item x="1397"/>
        <item x="1370"/>
        <item x="1369"/>
        <item x="615"/>
        <item x="445"/>
        <item x="1413"/>
        <item x="1412"/>
        <item x="832"/>
        <item x="111"/>
        <item x="1533"/>
        <item x="1474"/>
        <item x="1401"/>
        <item x="1400"/>
        <item x="1399"/>
        <item x="430"/>
        <item x="1425"/>
        <item x="1424"/>
        <item x="1416"/>
        <item x="1415"/>
        <item x="116"/>
        <item x="759"/>
        <item x="118"/>
        <item x="113"/>
        <item x="428"/>
        <item x="414"/>
        <item x="603"/>
        <item x="426"/>
        <item x="294"/>
        <item x="402"/>
        <item x="772"/>
        <item x="770"/>
        <item x="602"/>
        <item x="1394"/>
        <item x="1393"/>
        <item x="590"/>
        <item x="768"/>
        <item x="1192"/>
        <item x="1191"/>
        <item x="1190"/>
        <item x="847"/>
        <item x="1352"/>
        <item x="58"/>
        <item x="838"/>
        <item x="596"/>
        <item x="834"/>
        <item x="613"/>
        <item x="610"/>
        <item x="805"/>
        <item x="1364"/>
        <item x="819"/>
        <item x="785"/>
        <item x="1258"/>
        <item x="951"/>
        <item x="127"/>
        <item x="946"/>
        <item x="955"/>
        <item x="1623"/>
        <item x="1624"/>
        <item x="799"/>
        <item x="129"/>
        <item x="791"/>
        <item x="476"/>
        <item x="966"/>
        <item x="827"/>
        <item x="815"/>
        <item x="1345"/>
        <item x="216"/>
        <item x="977"/>
        <item x="1028"/>
        <item x="553"/>
        <item x="381"/>
        <item x="187"/>
        <item x="66"/>
        <item x="942"/>
        <item x="76"/>
        <item x="1546"/>
        <item x="608"/>
        <item x="1551"/>
        <item x="1547"/>
        <item x="176"/>
        <item x="473"/>
        <item x="193"/>
        <item x="194"/>
        <item x="711"/>
        <item x="84"/>
        <item x="857"/>
        <item x="452"/>
        <item x="936"/>
        <item x="142"/>
        <item x="456"/>
        <item x="457"/>
        <item x="143"/>
        <item x="454"/>
        <item x="420"/>
        <item x="209"/>
        <item x="889"/>
        <item x="888"/>
        <item x="421"/>
        <item x="1452"/>
        <item x="1451"/>
        <item x="891"/>
        <item x="893"/>
        <item x="720"/>
        <item x="295"/>
        <item x="721"/>
        <item x="1535"/>
        <item x="98"/>
        <item x="715"/>
        <item x="695"/>
        <item x="723"/>
        <item x="536"/>
        <item x="701"/>
        <item x="144"/>
        <item x="97"/>
        <item x="1502"/>
        <item x="297"/>
        <item x="298"/>
        <item x="95"/>
        <item x="830"/>
        <item x="230"/>
        <item x="231"/>
        <item x="1457"/>
        <item x="1435"/>
        <item x="1343"/>
        <item x="630"/>
        <item x="241"/>
        <item x="836"/>
        <item x="180"/>
        <item x="1433"/>
        <item x="912"/>
        <item x="547"/>
        <item x="119"/>
        <item x="884"/>
        <item x="125"/>
        <item x="121"/>
        <item x="123"/>
        <item x="775"/>
        <item x="342"/>
        <item x="1417"/>
        <item x="873"/>
        <item x="879"/>
        <item x="622"/>
        <item x="908"/>
        <item x="599"/>
        <item x="1479"/>
        <item x="1478"/>
        <item x="910"/>
        <item x="158"/>
        <item x="732"/>
        <item x="587"/>
        <item x="1025"/>
        <item x="646"/>
        <item x="944"/>
        <item x="794"/>
        <item x="817"/>
        <item x="787"/>
        <item x="544"/>
        <item x="545"/>
        <item x="848"/>
        <item x="312"/>
        <item x="1167"/>
        <item x="1166"/>
        <item x="1165"/>
        <item x="845"/>
        <item x="433"/>
        <item x="427"/>
        <item x="512"/>
        <item x="778"/>
        <item x="1154"/>
        <item x="1153"/>
        <item x="437"/>
        <item x="435"/>
        <item x="804"/>
        <item x="708"/>
        <item x="813"/>
        <item x="1201"/>
        <item x="1200"/>
        <item x="1199"/>
        <item x="1150"/>
        <item x="1170"/>
        <item x="1169"/>
        <item x="1168"/>
        <item x="676"/>
        <item x="674"/>
        <item x="1300"/>
        <item x="1299"/>
        <item x="1298"/>
        <item x="314"/>
        <item x="211"/>
        <item x="1083"/>
        <item x="1082"/>
        <item x="1080"/>
        <item x="938"/>
        <item x="178"/>
        <item x="829"/>
        <item x="971"/>
        <item x="1532"/>
        <item x="232"/>
        <item x="416"/>
        <item x="417"/>
        <item x="419"/>
        <item x="234"/>
        <item x="288"/>
        <item x="318"/>
        <item x="635"/>
        <item x="1152"/>
        <item x="1151"/>
        <item x="289"/>
        <item x="291"/>
        <item x="81"/>
        <item x="83"/>
        <item x="259"/>
        <item x="277"/>
        <item x="263"/>
        <item x="280"/>
        <item x="969"/>
        <item x="1531"/>
        <item x="757"/>
        <item x="96"/>
        <item x="1072"/>
        <item x="571"/>
        <item x="567"/>
        <item x="207"/>
        <item x="687"/>
        <item x="1198"/>
        <item x="186"/>
        <item x="973"/>
        <item x="1511"/>
        <item x="1088"/>
        <item x="1489"/>
        <item x="1488"/>
        <item x="1361"/>
        <item x="1089"/>
        <item x="691"/>
        <item x="447"/>
        <item x="1517"/>
        <item x="1516"/>
        <item x="1076"/>
        <item x="1075"/>
        <item x="1520"/>
        <item x="1519"/>
        <item x="1530"/>
        <item x="1529"/>
        <item x="1473"/>
        <item x="1472"/>
        <item x="1081"/>
        <item x="1507"/>
        <item x="689"/>
        <item x="1527"/>
        <item x="1534"/>
        <item x="1526"/>
        <item x="694"/>
        <item x="1475"/>
        <item x="1496"/>
        <item x="1494"/>
        <item x="1514"/>
        <item x="1493"/>
        <item x="1513"/>
        <item x="128"/>
        <item x="1524"/>
        <item x="1523"/>
        <item x="1501"/>
        <item x="1500"/>
        <item x="1499"/>
        <item x="1498"/>
        <item x="1506"/>
        <item x="1510"/>
        <item x="1505"/>
        <item x="1509"/>
        <item x="1504"/>
        <item x="684"/>
        <item x="841"/>
        <item x="273"/>
        <item x="388"/>
        <item x="249"/>
        <item x="246"/>
        <item x="1486"/>
        <item x="1485"/>
        <item x="224"/>
        <item x="227"/>
        <item x="229"/>
        <item x="204"/>
        <item x="385"/>
        <item x="703"/>
        <item x="849"/>
        <item x="1071"/>
        <item x="550"/>
        <item x="532"/>
        <item x="182"/>
        <item x="535"/>
        <item x="534"/>
        <item x="556"/>
        <item x="555"/>
        <item x="554"/>
        <item x="283"/>
        <item x="210"/>
        <item x="285"/>
        <item x="287"/>
        <item x="233"/>
        <item x="941"/>
        <item x="183"/>
        <item x="159"/>
        <item x="1403"/>
        <item x="1542"/>
        <item x="1379"/>
        <item x="895"/>
        <item x="1382"/>
        <item x="1186"/>
        <item x="1373"/>
        <item x="925"/>
        <item x="1376"/>
        <item x="475"/>
        <item x="75"/>
        <item x="1090"/>
        <item x="1087"/>
        <item x="1092"/>
        <item x="1091"/>
        <item x="1093"/>
        <item x="1073"/>
        <item x="1398"/>
        <item x="413"/>
        <item x="1537"/>
        <item x="1536"/>
        <item x="392"/>
        <item x="667"/>
        <item x="649"/>
        <item x="1456"/>
        <item x="415"/>
        <item x="935"/>
        <item x="904"/>
        <item x="624"/>
        <item x="662"/>
        <item x="1422"/>
        <item x="958"/>
        <item x="1297"/>
        <item x="1427"/>
        <item x="672"/>
        <item x="1420"/>
        <item x="1419"/>
        <item x="1418"/>
        <item x="604"/>
        <item x="583"/>
        <item x="436"/>
        <item x="438"/>
        <item x="434"/>
        <item x="245"/>
        <item x="247"/>
        <item x="248"/>
        <item x="403"/>
        <item x="311"/>
        <item x="1243"/>
        <item x="1615"/>
        <item x="609"/>
        <item x="441"/>
        <item x="945"/>
        <item x="1233"/>
        <item x="1230"/>
        <item x="1232"/>
        <item x="997"/>
        <item x="319"/>
        <item x="1065"/>
        <item x="453"/>
        <item x="160"/>
        <item x="1221"/>
        <item x="1220"/>
        <item x="1219"/>
        <item x="976"/>
        <item x="1231"/>
        <item x="1490"/>
        <item x="205"/>
        <item x="1528"/>
        <item x="214"/>
        <item x="1525"/>
        <item x="1471"/>
        <item x="1470"/>
        <item x="203"/>
        <item x="769"/>
        <item x="1540"/>
        <item x="1621"/>
        <item x="1616"/>
        <item x="82"/>
        <item x="1372"/>
        <item x="1371"/>
        <item x="165"/>
        <item x="914"/>
        <item x="543"/>
        <item x="562"/>
        <item x="305"/>
        <item x="911"/>
        <item x="1218"/>
        <item x="1023"/>
        <item x="970"/>
        <item x="564"/>
        <item x="338"/>
        <item x="632"/>
        <item x="833"/>
        <item x="1070"/>
        <item x="844"/>
        <item x="511"/>
        <item x="1383"/>
        <item x="777"/>
        <item x="882"/>
        <item x="862"/>
        <item x="863"/>
        <item x="529"/>
        <item x="404"/>
        <item x="1515"/>
        <item x="1487"/>
        <item x="406"/>
        <item x="407"/>
        <item x="937"/>
        <item x="1518"/>
        <item x="531"/>
        <item x="828"/>
        <item x="467"/>
        <item x="1512"/>
        <item x="282"/>
        <item x="308"/>
        <item x="1497"/>
        <item x="505"/>
        <item x="600"/>
        <item x="275"/>
        <item x="310"/>
        <item x="1484"/>
        <item x="514"/>
        <item x="355"/>
        <item x="74"/>
        <item x="1539"/>
        <item x="181"/>
        <item x="484"/>
        <item x="496"/>
        <item x="498"/>
        <item x="940"/>
        <item x="1402"/>
        <item x="206"/>
        <item x="202"/>
        <item x="584"/>
        <item x="179"/>
        <item x="507"/>
        <item x="1469"/>
        <item x="595"/>
        <item x="485"/>
        <item x="73"/>
        <item x="580"/>
        <item x="1421"/>
        <item x="894"/>
        <item x="903"/>
        <item x="405"/>
        <item x="258"/>
        <item x="953"/>
        <item x="592"/>
        <item x="199"/>
        <item x="201"/>
        <item x="261"/>
        <item x="469"/>
        <item x="471"/>
        <item x="396"/>
        <item x="161"/>
        <item x="341"/>
        <item x="301"/>
        <item x="356"/>
        <item x="361"/>
        <item x="1074"/>
        <item x="480"/>
        <item x="386"/>
        <item x="391"/>
        <item x="353"/>
        <item x="807"/>
        <item x="810"/>
        <item x="875"/>
        <item x="478"/>
        <item x="1495"/>
        <item x="481"/>
        <item x="510"/>
        <item x="495"/>
        <item x="499"/>
        <item x="513"/>
        <item x="466"/>
        <item x="1625"/>
        <item x="502"/>
        <item x="491"/>
        <item x="917"/>
        <item x="578"/>
        <item x="339"/>
        <item x="72"/>
        <item x="956"/>
        <item x="525"/>
        <item x="634"/>
        <item x="357"/>
        <item x="266"/>
        <item x="360"/>
        <item x="390"/>
        <item x="269"/>
        <item x="352"/>
        <item x="504"/>
        <item x="598"/>
        <item x="479"/>
        <item x="313"/>
        <item x="542"/>
        <item x="506"/>
        <item x="520"/>
        <item x="519"/>
        <item x="518"/>
        <item x="517"/>
        <item x="497"/>
        <item x="307"/>
        <item x="524"/>
        <item x="472"/>
        <item x="359"/>
        <item x="526"/>
        <item x="320"/>
        <item x="465"/>
        <item x="489"/>
        <item x="358"/>
        <item x="521"/>
        <item x="346"/>
        <item x="340"/>
        <item x="682"/>
        <item x="270"/>
        <item x="1356"/>
        <item x="509"/>
        <item x="625"/>
        <item x="633"/>
        <item x="626"/>
        <item x="627"/>
        <item x="344"/>
        <item x="501"/>
        <item x="651"/>
        <item x="379"/>
        <item x="916"/>
        <item x="389"/>
        <item x="492"/>
        <item x="387"/>
        <item x="482"/>
        <item x="577"/>
        <item x="523"/>
        <item x="516"/>
        <item x="309"/>
        <item x="503"/>
        <item x="337"/>
        <item x="527"/>
        <item x="464"/>
        <item x="327"/>
        <item x="271"/>
        <item x="272"/>
        <item x="522"/>
        <item x="515"/>
        <item x="528"/>
        <item x="539"/>
        <item x="508"/>
        <item x="538"/>
        <item x="530"/>
        <item x="576"/>
        <item x="400"/>
        <item x="488"/>
        <item x="494"/>
        <item x="483"/>
        <item x="500"/>
        <item x="874"/>
        <item x="490"/>
        <item x="383"/>
        <item x="574"/>
        <item x="380"/>
        <item x="463"/>
        <item x="351"/>
        <item x="486"/>
        <item x="915"/>
        <item x="375"/>
        <item x="652"/>
        <item x="618"/>
        <item x="620"/>
        <item x="616"/>
        <item x="623"/>
        <item x="399"/>
        <item x="487"/>
        <item x="348"/>
        <item x="350"/>
        <item x="654"/>
        <item x="658"/>
        <item x="365"/>
        <item x="579"/>
        <item x="328"/>
        <item x="575"/>
        <item x="369"/>
        <item x="462"/>
        <item x="336"/>
        <item x="493"/>
        <item x="371"/>
        <item x="573"/>
        <item x="364"/>
        <item x="374"/>
        <item x="653"/>
        <item x="659"/>
        <item x="408"/>
        <item x="1013"/>
        <item x="669"/>
        <item x="459"/>
        <item x="461"/>
        <item x="363"/>
        <item x="366"/>
        <item x="368"/>
        <item x="326"/>
        <item x="330"/>
        <item x="370"/>
        <item x="572"/>
        <item x="394"/>
        <item x="376"/>
        <item x="372"/>
        <item x="321"/>
        <item x="617"/>
        <item x="619"/>
        <item x="591"/>
        <item x="362"/>
        <item x="347"/>
        <item x="349"/>
        <item x="377"/>
        <item x="458"/>
        <item x="398"/>
        <item x="335"/>
        <item x="367"/>
        <item x="585"/>
        <item x="323"/>
        <item x="325"/>
        <item x="373"/>
        <item x="329"/>
        <item x="378"/>
        <item x="322"/>
        <item x="382"/>
        <item x="324"/>
        <item x="334"/>
        <item x="333"/>
        <item x="332"/>
        <item x="331"/>
        <item x="1019"/>
        <item x="1020"/>
        <item x="1022"/>
        <item x="1066"/>
        <item x="1064"/>
        <item x="1627"/>
        <item t="default"/>
      </items>
    </pivotField>
    <pivotField compact="0" showAll="0">
      <items count="160">
        <item x="0"/>
        <item x="48"/>
        <item x="118"/>
        <item x="29"/>
        <item x="23"/>
        <item x="25"/>
        <item x="24"/>
        <item x="28"/>
        <item x="1"/>
        <item x="42"/>
        <item x="2"/>
        <item x="3"/>
        <item x="4"/>
        <item x="5"/>
        <item x="41"/>
        <item x="7"/>
        <item x="11"/>
        <item x="100"/>
        <item x="54"/>
        <item x="53"/>
        <item x="101"/>
        <item x="6"/>
        <item x="133"/>
        <item x="135"/>
        <item x="137"/>
        <item x="18"/>
        <item x="152"/>
        <item x="148"/>
        <item x="57"/>
        <item x="8"/>
        <item x="26"/>
        <item x="19"/>
        <item x="84"/>
        <item x="9"/>
        <item x="104"/>
        <item x="120"/>
        <item x="10"/>
        <item x="39"/>
        <item x="56"/>
        <item x="21"/>
        <item x="136"/>
        <item x="12"/>
        <item x="16"/>
        <item x="15"/>
        <item x="20"/>
        <item x="22"/>
        <item x="14"/>
        <item x="58"/>
        <item x="134"/>
        <item x="116"/>
        <item x="81"/>
        <item x="17"/>
        <item x="103"/>
        <item x="30"/>
        <item x="88"/>
        <item x="13"/>
        <item x="27"/>
        <item x="31"/>
        <item x="146"/>
        <item x="132"/>
        <item x="67"/>
        <item x="38"/>
        <item x="95"/>
        <item x="147"/>
        <item x="40"/>
        <item x="34"/>
        <item x="142"/>
        <item x="86"/>
        <item x="73"/>
        <item x="112"/>
        <item x="138"/>
        <item x="115"/>
        <item x="68"/>
        <item x="90"/>
        <item x="155"/>
        <item x="61"/>
        <item x="144"/>
        <item x="37"/>
        <item x="154"/>
        <item x="87"/>
        <item x="74"/>
        <item x="70"/>
        <item x="85"/>
        <item x="102"/>
        <item x="62"/>
        <item x="105"/>
        <item x="32"/>
        <item x="114"/>
        <item x="82"/>
        <item x="35"/>
        <item x="69"/>
        <item x="157"/>
        <item x="65"/>
        <item x="93"/>
        <item x="122"/>
        <item x="153"/>
        <item x="91"/>
        <item x="106"/>
        <item x="141"/>
        <item x="89"/>
        <item x="97"/>
        <item x="33"/>
        <item x="131"/>
        <item x="92"/>
        <item x="94"/>
        <item x="96"/>
        <item x="129"/>
        <item x="139"/>
        <item x="107"/>
        <item x="83"/>
        <item x="75"/>
        <item x="80"/>
        <item x="109"/>
        <item x="110"/>
        <item x="108"/>
        <item x="50"/>
        <item x="36"/>
        <item x="121"/>
        <item x="43"/>
        <item x="123"/>
        <item x="117"/>
        <item x="113"/>
        <item x="140"/>
        <item x="111"/>
        <item x="127"/>
        <item x="156"/>
        <item x="128"/>
        <item x="71"/>
        <item x="130"/>
        <item x="143"/>
        <item x="66"/>
        <item x="124"/>
        <item x="98"/>
        <item x="44"/>
        <item x="145"/>
        <item x="55"/>
        <item x="149"/>
        <item x="79"/>
        <item x="47"/>
        <item x="49"/>
        <item x="46"/>
        <item x="59"/>
        <item x="150"/>
        <item x="125"/>
        <item x="119"/>
        <item x="72"/>
        <item x="151"/>
        <item x="99"/>
        <item x="51"/>
        <item x="126"/>
        <item x="60"/>
        <item x="63"/>
        <item x="45"/>
        <item x="64"/>
        <item x="78"/>
        <item x="52"/>
        <item x="76"/>
        <item x="77"/>
        <item x="158"/>
        <item t="default"/>
      </items>
    </pivotField>
  </pivotFields>
  <rowFields count="1">
    <field x="3"/>
  </rowFields>
  <rowItems count="9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 t="grand">
      <x/>
    </i>
  </rowItems>
  <colItems count="1">
    <i/>
  </colItems>
  <dataFields count="1">
    <dataField name="求和项:发生金额" fld="8" baseField="0" baseItem="0"/>
  </dataFields>
  <pivotTableStyleInfo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17"/>
  <sheetViews>
    <sheetView tabSelected="1" topLeftCell="A76" workbookViewId="0">
      <selection activeCell="E88" sqref="E88"/>
    </sheetView>
  </sheetViews>
  <sheetFormatPr defaultColWidth="9" defaultRowHeight="13.5" outlineLevelCol="1"/>
  <cols>
    <col min="1" max="1" width="10.875"/>
    <col min="2" max="2" width="16.125"/>
  </cols>
  <sheetData>
    <row r="3" spans="1:2">
      <c r="A3" s="14" t="s">
        <v>0</v>
      </c>
      <c r="B3" s="15" t="s">
        <v>1</v>
      </c>
    </row>
    <row r="4" spans="1:2">
      <c r="A4" s="14"/>
      <c r="B4" s="15">
        <v>-4031.30000000004</v>
      </c>
    </row>
    <row r="5" spans="1:2">
      <c r="A5" s="16" t="s">
        <v>2</v>
      </c>
      <c r="B5" s="17">
        <v>3183.73</v>
      </c>
    </row>
    <row r="6" spans="1:2">
      <c r="A6" s="16" t="s">
        <v>3</v>
      </c>
      <c r="B6" s="17">
        <v>870.529999999999</v>
      </c>
    </row>
    <row r="7" spans="1:2">
      <c r="A7" s="16" t="s">
        <v>4</v>
      </c>
      <c r="B7" s="17">
        <v>-84860.9800000001</v>
      </c>
    </row>
    <row r="8" spans="1:2">
      <c r="A8" s="16" t="s">
        <v>5</v>
      </c>
      <c r="B8" s="17">
        <v>-268470.39</v>
      </c>
    </row>
    <row r="9" spans="1:2">
      <c r="A9" s="16" t="s">
        <v>6</v>
      </c>
      <c r="B9" s="17">
        <v>-6390.21</v>
      </c>
    </row>
    <row r="10" spans="1:2">
      <c r="A10" s="16" t="s">
        <v>7</v>
      </c>
      <c r="B10" s="17">
        <v>-12355.78</v>
      </c>
    </row>
    <row r="11" spans="1:2">
      <c r="A11" s="16" t="s">
        <v>8</v>
      </c>
      <c r="B11" s="17">
        <v>578.040000000001</v>
      </c>
    </row>
    <row r="12" spans="1:2">
      <c r="A12" s="16" t="s">
        <v>9</v>
      </c>
      <c r="B12" s="17">
        <v>-249.129999999999</v>
      </c>
    </row>
    <row r="13" spans="1:2">
      <c r="A13" s="16" t="s">
        <v>10</v>
      </c>
      <c r="B13" s="17">
        <v>6118.59999999999</v>
      </c>
    </row>
    <row r="14" spans="1:2">
      <c r="A14" s="16" t="s">
        <v>11</v>
      </c>
      <c r="B14" s="17">
        <v>575.240000000002</v>
      </c>
    </row>
    <row r="15" spans="1:2">
      <c r="A15" s="16" t="s">
        <v>12</v>
      </c>
      <c r="B15" s="17">
        <v>1318.14</v>
      </c>
    </row>
    <row r="16" spans="1:2">
      <c r="A16" s="16" t="s">
        <v>13</v>
      </c>
      <c r="B16" s="17">
        <v>1306.9</v>
      </c>
    </row>
    <row r="17" spans="1:2">
      <c r="A17" s="16" t="s">
        <v>14</v>
      </c>
      <c r="B17" s="17">
        <v>-384.940000000001</v>
      </c>
    </row>
    <row r="18" spans="1:2">
      <c r="A18" s="16" t="s">
        <v>15</v>
      </c>
      <c r="B18" s="17">
        <v>-1340.74</v>
      </c>
    </row>
    <row r="19" spans="1:2">
      <c r="A19" s="16" t="s">
        <v>16</v>
      </c>
      <c r="B19" s="17">
        <v>-251.139999999999</v>
      </c>
    </row>
    <row r="20" spans="1:2">
      <c r="A20" s="16" t="s">
        <v>17</v>
      </c>
      <c r="B20" s="17">
        <v>42.1400000000003</v>
      </c>
    </row>
    <row r="21" spans="1:2">
      <c r="A21" s="16" t="s">
        <v>18</v>
      </c>
      <c r="B21" s="17">
        <v>-100591.65</v>
      </c>
    </row>
    <row r="22" spans="1:2">
      <c r="A22" s="16" t="s">
        <v>19</v>
      </c>
      <c r="B22" s="17">
        <v>2314.38</v>
      </c>
    </row>
    <row r="23" spans="1:2">
      <c r="A23" s="16" t="s">
        <v>20</v>
      </c>
      <c r="B23" s="17">
        <v>1604.41</v>
      </c>
    </row>
    <row r="24" spans="1:2">
      <c r="A24" s="16" t="s">
        <v>21</v>
      </c>
      <c r="B24" s="17">
        <v>-81.2199999999994</v>
      </c>
    </row>
    <row r="25" spans="1:2">
      <c r="A25" s="16" t="s">
        <v>22</v>
      </c>
      <c r="B25" s="17">
        <v>455.799999999999</v>
      </c>
    </row>
    <row r="26" spans="1:2">
      <c r="A26" s="16" t="s">
        <v>23</v>
      </c>
      <c r="B26" s="17">
        <v>285.320000000001</v>
      </c>
    </row>
    <row r="27" spans="1:2">
      <c r="A27" s="16" t="s">
        <v>24</v>
      </c>
      <c r="B27" s="17">
        <v>2217.04</v>
      </c>
    </row>
    <row r="28" spans="1:2">
      <c r="A28" s="16" t="s">
        <v>25</v>
      </c>
      <c r="B28" s="17">
        <v>-256.18</v>
      </c>
    </row>
    <row r="29" spans="1:2">
      <c r="A29" s="16" t="s">
        <v>26</v>
      </c>
      <c r="B29" s="17">
        <v>-73.96</v>
      </c>
    </row>
    <row r="30" spans="1:2">
      <c r="A30" s="16" t="s">
        <v>27</v>
      </c>
      <c r="B30" s="17">
        <v>28872.37</v>
      </c>
    </row>
    <row r="31" spans="1:2">
      <c r="A31" s="16" t="s">
        <v>28</v>
      </c>
      <c r="B31" s="17">
        <v>2765.24</v>
      </c>
    </row>
    <row r="32" spans="1:2">
      <c r="A32" s="16" t="s">
        <v>29</v>
      </c>
      <c r="B32" s="17">
        <v>1599.43</v>
      </c>
    </row>
    <row r="33" spans="1:2">
      <c r="A33" s="16" t="s">
        <v>30</v>
      </c>
      <c r="B33" s="17">
        <v>-131802.03</v>
      </c>
    </row>
    <row r="34" spans="1:2">
      <c r="A34" s="16" t="s">
        <v>31</v>
      </c>
      <c r="B34" s="17">
        <v>4537.31</v>
      </c>
    </row>
    <row r="35" spans="1:2">
      <c r="A35" s="16" t="s">
        <v>32</v>
      </c>
      <c r="B35" s="17">
        <v>334.009999999998</v>
      </c>
    </row>
    <row r="36" spans="1:2">
      <c r="A36" s="16" t="s">
        <v>33</v>
      </c>
      <c r="B36" s="17">
        <v>-1000</v>
      </c>
    </row>
    <row r="37" spans="1:2">
      <c r="A37" s="16" t="s">
        <v>34</v>
      </c>
      <c r="B37" s="17">
        <v>-1000</v>
      </c>
    </row>
    <row r="38" spans="1:2">
      <c r="A38" s="16" t="s">
        <v>35</v>
      </c>
      <c r="B38" s="17">
        <v>-1000</v>
      </c>
    </row>
    <row r="39" spans="1:2">
      <c r="A39" s="16" t="s">
        <v>36</v>
      </c>
      <c r="B39" s="17">
        <v>-1000</v>
      </c>
    </row>
    <row r="40" spans="1:2">
      <c r="A40" s="16" t="s">
        <v>37</v>
      </c>
      <c r="B40" s="17">
        <v>0</v>
      </c>
    </row>
    <row r="41" spans="1:2">
      <c r="A41" s="16" t="s">
        <v>38</v>
      </c>
      <c r="B41" s="17">
        <v>163.750000000002</v>
      </c>
    </row>
    <row r="42" spans="1:2">
      <c r="A42" s="16" t="s">
        <v>39</v>
      </c>
      <c r="B42" s="17">
        <v>1192.47</v>
      </c>
    </row>
    <row r="43" spans="1:2">
      <c r="A43" s="16" t="s">
        <v>40</v>
      </c>
      <c r="B43" s="17">
        <v>1009.09</v>
      </c>
    </row>
    <row r="44" spans="1:2">
      <c r="A44" s="16" t="s">
        <v>41</v>
      </c>
      <c r="B44" s="17">
        <v>957.85</v>
      </c>
    </row>
    <row r="45" spans="1:2">
      <c r="A45" s="16" t="s">
        <v>42</v>
      </c>
      <c r="B45" s="17">
        <v>1118.38</v>
      </c>
    </row>
    <row r="46" spans="1:2">
      <c r="A46" s="16" t="s">
        <v>43</v>
      </c>
      <c r="B46" s="17">
        <v>28.2399999999971</v>
      </c>
    </row>
    <row r="47" spans="1:2">
      <c r="A47" s="16" t="s">
        <v>44</v>
      </c>
      <c r="B47" s="17">
        <v>82.5800000000004</v>
      </c>
    </row>
    <row r="48" spans="1:2">
      <c r="A48" s="16" t="s">
        <v>45</v>
      </c>
      <c r="B48" s="17">
        <v>15.6999999999998</v>
      </c>
    </row>
    <row r="49" spans="1:2">
      <c r="A49" s="16" t="s">
        <v>46</v>
      </c>
      <c r="B49" s="17">
        <v>263.209999999992</v>
      </c>
    </row>
    <row r="50" spans="1:2">
      <c r="A50" s="16" t="s">
        <v>47</v>
      </c>
      <c r="B50" s="17">
        <v>36.5</v>
      </c>
    </row>
    <row r="51" spans="1:2">
      <c r="A51" s="16" t="s">
        <v>48</v>
      </c>
      <c r="B51" s="17">
        <v>-655.470000000006</v>
      </c>
    </row>
    <row r="52" spans="1:2">
      <c r="A52" s="16" t="s">
        <v>49</v>
      </c>
      <c r="B52" s="17">
        <v>1287.75</v>
      </c>
    </row>
    <row r="53" spans="1:2">
      <c r="A53" s="16" t="s">
        <v>50</v>
      </c>
      <c r="B53" s="17">
        <v>37427.59</v>
      </c>
    </row>
    <row r="54" spans="1:2">
      <c r="A54" s="16" t="s">
        <v>51</v>
      </c>
      <c r="B54" s="17">
        <v>37384.59</v>
      </c>
    </row>
    <row r="55" spans="1:2">
      <c r="A55" s="16" t="s">
        <v>52</v>
      </c>
      <c r="B55" s="17">
        <v>5952.93</v>
      </c>
    </row>
    <row r="56" spans="1:2">
      <c r="A56" s="16" t="s">
        <v>53</v>
      </c>
      <c r="B56" s="17">
        <v>-3445</v>
      </c>
    </row>
    <row r="57" spans="1:2">
      <c r="A57" s="16" t="s">
        <v>54</v>
      </c>
      <c r="B57" s="17">
        <v>-102265.12</v>
      </c>
    </row>
    <row r="58" spans="1:2">
      <c r="A58" s="16" t="s">
        <v>55</v>
      </c>
      <c r="B58" s="17">
        <v>1134.12000000001</v>
      </c>
    </row>
    <row r="59" spans="1:2">
      <c r="A59" s="16" t="s">
        <v>56</v>
      </c>
      <c r="B59" s="17">
        <v>-725</v>
      </c>
    </row>
    <row r="60" spans="1:2">
      <c r="A60" s="16" t="s">
        <v>57</v>
      </c>
      <c r="B60" s="17">
        <v>-25061.42</v>
      </c>
    </row>
    <row r="61" spans="1:2">
      <c r="A61" s="16" t="s">
        <v>58</v>
      </c>
      <c r="B61" s="17">
        <v>-36461.31</v>
      </c>
    </row>
    <row r="62" spans="1:2">
      <c r="A62" s="16" t="s">
        <v>59</v>
      </c>
      <c r="B62" s="17">
        <v>-83010.52</v>
      </c>
    </row>
    <row r="63" spans="1:2">
      <c r="A63" s="16" t="s">
        <v>60</v>
      </c>
      <c r="B63" s="17">
        <v>-110</v>
      </c>
    </row>
    <row r="64" spans="1:2">
      <c r="A64" s="16" t="s">
        <v>61</v>
      </c>
      <c r="B64" s="17">
        <v>68428.14</v>
      </c>
    </row>
    <row r="65" spans="1:2">
      <c r="A65" s="16" t="s">
        <v>62</v>
      </c>
      <c r="B65" s="17">
        <v>-44845.55</v>
      </c>
    </row>
    <row r="66" spans="1:2">
      <c r="A66" s="16" t="s">
        <v>63</v>
      </c>
      <c r="B66" s="17">
        <v>114847.52</v>
      </c>
    </row>
    <row r="67" spans="1:2">
      <c r="A67" s="16" t="s">
        <v>64</v>
      </c>
      <c r="B67" s="17">
        <v>1773.24</v>
      </c>
    </row>
    <row r="68" spans="1:2">
      <c r="A68" s="16" t="s">
        <v>65</v>
      </c>
      <c r="B68" s="17">
        <v>-590.189999999999</v>
      </c>
    </row>
    <row r="69" spans="1:2">
      <c r="A69" s="16" t="s">
        <v>66</v>
      </c>
      <c r="B69" s="17">
        <v>-1109.23</v>
      </c>
    </row>
    <row r="70" spans="1:2">
      <c r="A70" s="16" t="s">
        <v>67</v>
      </c>
      <c r="B70" s="17">
        <v>722.189999999999</v>
      </c>
    </row>
    <row r="71" spans="1:2">
      <c r="A71" s="16" t="s">
        <v>68</v>
      </c>
      <c r="B71" s="17">
        <v>50944.05</v>
      </c>
    </row>
    <row r="72" spans="1:2">
      <c r="A72" s="16" t="s">
        <v>69</v>
      </c>
      <c r="B72" s="17">
        <v>8808.67</v>
      </c>
    </row>
    <row r="73" spans="1:2">
      <c r="A73" s="16" t="s">
        <v>70</v>
      </c>
      <c r="B73" s="17">
        <v>679.7</v>
      </c>
    </row>
    <row r="74" spans="1:2">
      <c r="A74" s="16" t="s">
        <v>71</v>
      </c>
      <c r="B74" s="17">
        <v>1992.33000000001</v>
      </c>
    </row>
    <row r="75" spans="1:2">
      <c r="A75" s="16" t="s">
        <v>72</v>
      </c>
      <c r="B75" s="17">
        <v>1250.88</v>
      </c>
    </row>
    <row r="76" spans="1:2">
      <c r="A76" s="16" t="s">
        <v>73</v>
      </c>
      <c r="B76" s="17">
        <v>0</v>
      </c>
    </row>
    <row r="77" spans="1:2">
      <c r="A77" s="16" t="s">
        <v>74</v>
      </c>
      <c r="B77" s="17">
        <v>4340.56</v>
      </c>
    </row>
    <row r="78" spans="1:2">
      <c r="A78" s="16" t="s">
        <v>75</v>
      </c>
      <c r="B78" s="17">
        <v>-39099.74</v>
      </c>
    </row>
    <row r="79" spans="1:2">
      <c r="A79" s="16" t="s">
        <v>76</v>
      </c>
      <c r="B79" s="17">
        <v>42147.77</v>
      </c>
    </row>
    <row r="80" spans="1:2">
      <c r="A80" s="16" t="s">
        <v>77</v>
      </c>
      <c r="B80" s="17">
        <v>-756.62</v>
      </c>
    </row>
    <row r="81" spans="1:2">
      <c r="A81" s="16" t="s">
        <v>78</v>
      </c>
      <c r="B81" s="17">
        <v>191.37</v>
      </c>
    </row>
    <row r="82" spans="1:2">
      <c r="A82" s="16" t="s">
        <v>79</v>
      </c>
      <c r="B82" s="17">
        <v>33470.9</v>
      </c>
    </row>
    <row r="83" spans="1:2">
      <c r="A83" s="16" t="s">
        <v>80</v>
      </c>
      <c r="B83" s="17">
        <v>91.5799999999999</v>
      </c>
    </row>
    <row r="84" spans="1:2">
      <c r="A84" s="16" t="s">
        <v>81</v>
      </c>
      <c r="B84" s="17">
        <v>2595.65</v>
      </c>
    </row>
    <row r="85" spans="1:2">
      <c r="A85" s="16" t="s">
        <v>82</v>
      </c>
      <c r="B85" s="17">
        <v>842.550000000001</v>
      </c>
    </row>
    <row r="86" spans="1:2">
      <c r="A86" s="16" t="s">
        <v>83</v>
      </c>
      <c r="B86" s="17">
        <v>146.98</v>
      </c>
    </row>
    <row r="87" spans="1:2">
      <c r="A87" s="16" t="s">
        <v>84</v>
      </c>
      <c r="B87" s="17">
        <v>169.019999999993</v>
      </c>
    </row>
    <row r="88" spans="1:2">
      <c r="A88" s="16" t="s">
        <v>85</v>
      </c>
      <c r="B88" s="17">
        <v>21891.2</v>
      </c>
    </row>
    <row r="89" spans="1:2">
      <c r="A89" s="16" t="s">
        <v>86</v>
      </c>
      <c r="B89" s="17">
        <v>841.540000000001</v>
      </c>
    </row>
    <row r="90" spans="1:2">
      <c r="A90" s="16" t="s">
        <v>87</v>
      </c>
      <c r="B90" s="17">
        <v>2349.76999999999</v>
      </c>
    </row>
    <row r="91" spans="1:2">
      <c r="A91" s="16" t="s">
        <v>88</v>
      </c>
      <c r="B91" s="17">
        <v>-410.769999999999</v>
      </c>
    </row>
    <row r="92" spans="1:2">
      <c r="A92" s="16" t="s">
        <v>89</v>
      </c>
      <c r="B92" s="17">
        <v>316.070000000001</v>
      </c>
    </row>
    <row r="93" spans="1:2">
      <c r="A93" s="16" t="s">
        <v>90</v>
      </c>
      <c r="B93" s="17">
        <v>644.189999999999</v>
      </c>
    </row>
    <row r="94" spans="1:2">
      <c r="A94" s="16" t="s">
        <v>91</v>
      </c>
      <c r="B94" s="17">
        <v>1877.78</v>
      </c>
    </row>
    <row r="95" spans="1:2">
      <c r="A95" s="16" t="s">
        <v>92</v>
      </c>
      <c r="B95" s="17">
        <v>376.170000000001</v>
      </c>
    </row>
    <row r="96" spans="1:2">
      <c r="A96" s="16" t="s">
        <v>93</v>
      </c>
      <c r="B96" s="17">
        <v>17944.42</v>
      </c>
    </row>
    <row r="97" spans="1:2">
      <c r="A97" s="16" t="s">
        <v>94</v>
      </c>
      <c r="B97" s="17">
        <v>186.890000000003</v>
      </c>
    </row>
    <row r="98" spans="1:2">
      <c r="A98" s="16" t="s">
        <v>95</v>
      </c>
      <c r="B98" s="17">
        <v>1790.66</v>
      </c>
    </row>
    <row r="99" spans="1:2">
      <c r="A99" s="16" t="s">
        <v>96</v>
      </c>
      <c r="B99" s="17">
        <v>486.43</v>
      </c>
    </row>
    <row r="100" spans="1:2">
      <c r="A100" s="16" t="s">
        <v>97</v>
      </c>
      <c r="B100" s="17">
        <v>168.409999999996</v>
      </c>
    </row>
    <row r="101" spans="1:2">
      <c r="A101" s="16" t="s">
        <v>98</v>
      </c>
      <c r="B101" s="17">
        <v>-717.430000000001</v>
      </c>
    </row>
    <row r="102" spans="1:2">
      <c r="A102" s="16" t="s">
        <v>99</v>
      </c>
      <c r="B102" s="17">
        <v>380.030000000001</v>
      </c>
    </row>
    <row r="103" spans="1:2">
      <c r="A103" s="16" t="s">
        <v>100</v>
      </c>
      <c r="B103" s="17">
        <v>30248.81</v>
      </c>
    </row>
    <row r="104" spans="1:2">
      <c r="A104" s="16" t="s">
        <v>101</v>
      </c>
      <c r="B104" s="17">
        <v>-122.839999999999</v>
      </c>
    </row>
    <row r="105" spans="1:2">
      <c r="A105" s="16" t="s">
        <v>102</v>
      </c>
      <c r="B105" s="17">
        <v>-332.969999999999</v>
      </c>
    </row>
    <row r="106" spans="1:2">
      <c r="A106" s="16" t="s">
        <v>103</v>
      </c>
      <c r="B106" s="17">
        <v>-2956.97</v>
      </c>
    </row>
    <row r="107" spans="1:2">
      <c r="A107" s="16" t="s">
        <v>104</v>
      </c>
      <c r="B107" s="17">
        <v>36071.96</v>
      </c>
    </row>
    <row r="108" spans="1:2">
      <c r="A108" s="16" t="s">
        <v>105</v>
      </c>
      <c r="B108" s="17">
        <v>429.4</v>
      </c>
    </row>
    <row r="109" spans="1:2">
      <c r="A109" s="16" t="s">
        <v>106</v>
      </c>
      <c r="B109" s="17">
        <v>45454.93</v>
      </c>
    </row>
    <row r="110" spans="1:2">
      <c r="A110" s="16" t="s">
        <v>107</v>
      </c>
      <c r="B110" s="17">
        <v>-2170</v>
      </c>
    </row>
    <row r="111" spans="1:2">
      <c r="A111" s="16" t="s">
        <v>108</v>
      </c>
      <c r="B111" s="17">
        <v>-16250</v>
      </c>
    </row>
    <row r="112" spans="1:2">
      <c r="A112" s="16" t="s">
        <v>109</v>
      </c>
      <c r="B112" s="17">
        <v>-30030</v>
      </c>
    </row>
    <row r="113" spans="1:2">
      <c r="A113" s="16" t="s">
        <v>110</v>
      </c>
      <c r="B113" s="17">
        <v>0</v>
      </c>
    </row>
    <row r="114" spans="1:2">
      <c r="A114" s="16" t="s">
        <v>111</v>
      </c>
      <c r="B114" s="17">
        <v>0</v>
      </c>
    </row>
    <row r="115" spans="1:2">
      <c r="A115" s="16" t="s">
        <v>112</v>
      </c>
      <c r="B115" s="17">
        <v>-11537.7599999997</v>
      </c>
    </row>
    <row r="116" spans="1:2">
      <c r="A116" s="16" t="s">
        <v>113</v>
      </c>
      <c r="B116" s="17">
        <v>375003.63</v>
      </c>
    </row>
    <row r="117" spans="1:2">
      <c r="A117" s="18" t="s">
        <v>114</v>
      </c>
      <c r="B117" s="19">
        <v>-864.789999999804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4"/>
  <sheetViews>
    <sheetView workbookViewId="0">
      <selection activeCell="H1" sqref="H1:I4"/>
    </sheetView>
  </sheetViews>
  <sheetFormatPr defaultColWidth="9" defaultRowHeight="13.5"/>
  <cols>
    <col min="1" max="1" width="10.875"/>
    <col min="2" max="3" width="16.125"/>
    <col min="4" max="4" width="10.875"/>
    <col min="5" max="6" width="16.125"/>
    <col min="7" max="7" width="7.375"/>
    <col min="8" max="8" width="8.875"/>
    <col min="9" max="9" width="9.875"/>
    <col min="10" max="10" width="8.875"/>
    <col min="11" max="11" width="8.375"/>
    <col min="12" max="27" width="8.875"/>
    <col min="28" max="28" width="6.375"/>
    <col min="29" max="119" width="11.5"/>
    <col min="120" max="120" width="8.375"/>
    <col min="121" max="142" width="17.8333333333333"/>
    <col min="143" max="143" width="21.375"/>
    <col min="144" max="144" width="8.375"/>
  </cols>
  <sheetData>
    <row r="1" spans="1:9">
      <c r="A1" s="14" t="s">
        <v>0</v>
      </c>
      <c r="B1" s="14" t="s">
        <v>1</v>
      </c>
      <c r="D1" s="14" t="s">
        <v>0</v>
      </c>
      <c r="E1" s="15" t="s">
        <v>1</v>
      </c>
      <c r="G1" s="14"/>
      <c r="H1" s="14"/>
      <c r="I1" s="15"/>
    </row>
    <row r="2" spans="1:9">
      <c r="A2" s="14" t="s">
        <v>2</v>
      </c>
      <c r="B2" s="14">
        <v>3183.73</v>
      </c>
      <c r="D2" s="14"/>
      <c r="E2" s="15">
        <v>-4031.30000000001</v>
      </c>
      <c r="G2" s="14"/>
      <c r="H2" s="14"/>
      <c r="I2" s="15"/>
    </row>
    <row r="3" spans="1:9">
      <c r="A3" s="14" t="s">
        <v>3</v>
      </c>
      <c r="B3" s="14">
        <v>870.529999999999</v>
      </c>
      <c r="D3" s="16" t="s">
        <v>5</v>
      </c>
      <c r="E3" s="17">
        <v>-272044.04</v>
      </c>
      <c r="G3" s="16"/>
      <c r="H3" s="16"/>
      <c r="I3" s="17"/>
    </row>
    <row r="4" spans="1:9">
      <c r="A4" s="14" t="s">
        <v>4</v>
      </c>
      <c r="B4" s="14">
        <v>-84860.9800000001</v>
      </c>
      <c r="D4" s="16" t="s">
        <v>6</v>
      </c>
      <c r="E4" s="17">
        <v>-17054.19</v>
      </c>
      <c r="G4" s="16"/>
      <c r="H4" s="18"/>
      <c r="I4" s="19"/>
    </row>
    <row r="5" spans="1:7">
      <c r="A5" s="14" t="s">
        <v>5</v>
      </c>
      <c r="B5" s="14">
        <v>3573.65000000001</v>
      </c>
      <c r="D5" s="16" t="s">
        <v>7</v>
      </c>
      <c r="E5" s="17">
        <v>5739.24000000001</v>
      </c>
      <c r="G5" s="16"/>
    </row>
    <row r="6" spans="1:7">
      <c r="A6" s="14" t="s">
        <v>6</v>
      </c>
      <c r="B6" s="14">
        <v>10663.98</v>
      </c>
      <c r="D6" s="16" t="s">
        <v>8</v>
      </c>
      <c r="E6" s="17">
        <v>578.040000000001</v>
      </c>
      <c r="G6" s="16"/>
    </row>
    <row r="7" spans="1:7">
      <c r="A7" s="14" t="s">
        <v>7</v>
      </c>
      <c r="B7" s="14">
        <v>-18095.02</v>
      </c>
      <c r="D7" s="16" t="s">
        <v>9</v>
      </c>
      <c r="E7" s="17">
        <v>-249.129999999999</v>
      </c>
      <c r="G7" s="16"/>
    </row>
    <row r="8" spans="1:7">
      <c r="A8" s="14" t="s">
        <v>10</v>
      </c>
      <c r="B8" s="14">
        <v>2635.75999999999</v>
      </c>
      <c r="D8" s="16" t="s">
        <v>10</v>
      </c>
      <c r="E8" s="17">
        <v>3482.83999999999</v>
      </c>
      <c r="G8" s="16"/>
    </row>
    <row r="9" spans="1:7">
      <c r="A9" s="14" t="s">
        <v>11</v>
      </c>
      <c r="B9" s="14">
        <v>716.380000000001</v>
      </c>
      <c r="D9" s="16" t="s">
        <v>11</v>
      </c>
      <c r="E9" s="17">
        <v>-141.139999999999</v>
      </c>
      <c r="G9" s="16"/>
    </row>
    <row r="10" spans="1:7">
      <c r="A10" s="14" t="s">
        <v>15</v>
      </c>
      <c r="B10" s="14">
        <v>-1340.74</v>
      </c>
      <c r="D10" s="16" t="s">
        <v>12</v>
      </c>
      <c r="E10" s="17">
        <v>1318.14</v>
      </c>
      <c r="G10" s="16"/>
    </row>
    <row r="11" spans="1:7">
      <c r="A11" s="14" t="s">
        <v>17</v>
      </c>
      <c r="B11" s="14">
        <v>42.1400000000003</v>
      </c>
      <c r="D11" s="16" t="s">
        <v>13</v>
      </c>
      <c r="E11" s="17">
        <v>1306.9</v>
      </c>
      <c r="G11" s="16"/>
    </row>
    <row r="12" spans="1:7">
      <c r="A12" s="14" t="s">
        <v>18</v>
      </c>
      <c r="B12" s="14">
        <v>-31311.33</v>
      </c>
      <c r="D12" s="16" t="s">
        <v>14</v>
      </c>
      <c r="E12" s="17">
        <v>-384.940000000001</v>
      </c>
      <c r="G12" s="16"/>
    </row>
    <row r="13" spans="1:7">
      <c r="A13" s="14" t="s">
        <v>20</v>
      </c>
      <c r="B13" s="14">
        <v>1604.41</v>
      </c>
      <c r="D13" s="16" t="s">
        <v>16</v>
      </c>
      <c r="E13" s="17">
        <v>-251.139999999999</v>
      </c>
      <c r="G13" s="16"/>
    </row>
    <row r="14" spans="1:7">
      <c r="A14" s="14" t="s">
        <v>21</v>
      </c>
      <c r="B14" s="14">
        <v>-81.2199999999994</v>
      </c>
      <c r="D14" s="16" t="s">
        <v>18</v>
      </c>
      <c r="E14" s="17">
        <v>-69280.32</v>
      </c>
      <c r="G14" s="16"/>
    </row>
    <row r="15" spans="1:7">
      <c r="A15" s="14" t="s">
        <v>50</v>
      </c>
      <c r="B15" s="14">
        <v>63771.63</v>
      </c>
      <c r="D15" s="16" t="s">
        <v>19</v>
      </c>
      <c r="E15" s="17">
        <v>2314.38</v>
      </c>
      <c r="G15" s="16"/>
    </row>
    <row r="16" spans="1:7">
      <c r="A16" s="14" t="s">
        <v>55</v>
      </c>
      <c r="B16" s="14">
        <v>1134.12000000001</v>
      </c>
      <c r="D16" s="16" t="s">
        <v>22</v>
      </c>
      <c r="E16" s="17">
        <v>455.799999999999</v>
      </c>
      <c r="G16" s="16"/>
    </row>
    <row r="17" spans="1:7">
      <c r="A17" s="14" t="s">
        <v>62</v>
      </c>
      <c r="B17" s="14">
        <v>0</v>
      </c>
      <c r="D17" s="16" t="s">
        <v>23</v>
      </c>
      <c r="E17" s="17">
        <v>285.320000000001</v>
      </c>
      <c r="G17" s="16"/>
    </row>
    <row r="18" spans="1:7">
      <c r="A18" s="14" t="s">
        <v>68</v>
      </c>
      <c r="B18" s="14">
        <v>50944.05</v>
      </c>
      <c r="D18" s="16" t="s">
        <v>24</v>
      </c>
      <c r="E18" s="17">
        <v>2217.04</v>
      </c>
      <c r="G18" s="16"/>
    </row>
    <row r="19" spans="1:7">
      <c r="A19" s="14" t="s">
        <v>71</v>
      </c>
      <c r="B19" s="14">
        <v>1119.56</v>
      </c>
      <c r="D19" s="16" t="s">
        <v>25</v>
      </c>
      <c r="E19" s="17">
        <v>-256.18</v>
      </c>
      <c r="F19" s="15"/>
      <c r="G19" s="16"/>
    </row>
    <row r="20" spans="1:7">
      <c r="A20" s="14" t="s">
        <v>72</v>
      </c>
      <c r="B20" s="14">
        <v>-279887.74</v>
      </c>
      <c r="D20" s="16" t="s">
        <v>26</v>
      </c>
      <c r="E20" s="17">
        <v>-73.96</v>
      </c>
      <c r="F20" s="15"/>
      <c r="G20" s="16"/>
    </row>
    <row r="21" spans="1:7">
      <c r="A21" s="14" t="s">
        <v>75</v>
      </c>
      <c r="B21" s="14">
        <v>-10310.88</v>
      </c>
      <c r="D21" s="16" t="s">
        <v>27</v>
      </c>
      <c r="E21" s="17">
        <v>28872.37</v>
      </c>
      <c r="F21" s="15"/>
      <c r="G21" s="16"/>
    </row>
    <row r="22" spans="1:7">
      <c r="A22" s="14" t="s">
        <v>76</v>
      </c>
      <c r="B22" s="14">
        <v>41458.5</v>
      </c>
      <c r="D22" s="16" t="s">
        <v>28</v>
      </c>
      <c r="E22" s="17">
        <v>2765.24</v>
      </c>
      <c r="F22" s="15"/>
      <c r="G22" s="16"/>
    </row>
    <row r="23" spans="1:7">
      <c r="A23" s="14" t="s">
        <v>78</v>
      </c>
      <c r="B23" s="14">
        <v>191.37</v>
      </c>
      <c r="D23" s="16" t="s">
        <v>29</v>
      </c>
      <c r="E23" s="17">
        <v>1855.85</v>
      </c>
      <c r="F23" s="15"/>
      <c r="G23" s="16"/>
    </row>
    <row r="24" spans="1:7">
      <c r="A24" s="14" t="s">
        <v>79</v>
      </c>
      <c r="B24" s="14">
        <v>29564.45</v>
      </c>
      <c r="D24" s="16" t="s">
        <v>30</v>
      </c>
      <c r="E24" s="17">
        <v>-131802.03</v>
      </c>
      <c r="F24" s="15"/>
      <c r="G24" s="16"/>
    </row>
    <row r="25" spans="1:7">
      <c r="A25" s="14" t="s">
        <v>84</v>
      </c>
      <c r="B25" s="14">
        <v>169.019999999993</v>
      </c>
      <c r="D25" s="16" t="s">
        <v>31</v>
      </c>
      <c r="E25" s="17">
        <v>4537.31</v>
      </c>
      <c r="F25" s="15"/>
      <c r="G25" s="16"/>
    </row>
    <row r="26" spans="1:7">
      <c r="A26" s="14" t="s">
        <v>85</v>
      </c>
      <c r="B26" s="14">
        <v>21339.86</v>
      </c>
      <c r="D26" s="16" t="s">
        <v>32</v>
      </c>
      <c r="E26" s="17">
        <v>334.009999999998</v>
      </c>
      <c r="F26" s="15"/>
      <c r="G26" s="16"/>
    </row>
    <row r="27" spans="1:7">
      <c r="A27" s="14" t="s">
        <v>88</v>
      </c>
      <c r="B27" s="14">
        <v>-410.769999999999</v>
      </c>
      <c r="D27" s="16" t="s">
        <v>33</v>
      </c>
      <c r="E27" s="17">
        <v>-1000</v>
      </c>
      <c r="F27" s="15"/>
      <c r="G27" s="16"/>
    </row>
    <row r="28" spans="1:7">
      <c r="A28" s="14" t="s">
        <v>89</v>
      </c>
      <c r="B28" s="14">
        <v>208.38</v>
      </c>
      <c r="D28" s="16" t="s">
        <v>34</v>
      </c>
      <c r="E28" s="17">
        <v>-1000</v>
      </c>
      <c r="F28" s="15"/>
      <c r="G28" s="16"/>
    </row>
    <row r="29" spans="1:7">
      <c r="A29" s="14" t="s">
        <v>93</v>
      </c>
      <c r="B29" s="14">
        <v>6945.68</v>
      </c>
      <c r="D29" s="16" t="s">
        <v>35</v>
      </c>
      <c r="E29" s="17">
        <v>-1000</v>
      </c>
      <c r="F29" s="15"/>
      <c r="G29" s="16"/>
    </row>
    <row r="30" spans="1:7">
      <c r="A30" s="14" t="s">
        <v>95</v>
      </c>
      <c r="B30" s="14">
        <v>1790.66</v>
      </c>
      <c r="D30" s="16" t="s">
        <v>36</v>
      </c>
      <c r="E30" s="17">
        <v>-1000</v>
      </c>
      <c r="F30" s="15"/>
      <c r="G30" s="16"/>
    </row>
    <row r="31" spans="1:7">
      <c r="A31" s="14" t="s">
        <v>97</v>
      </c>
      <c r="B31" s="14">
        <v>8606.6</v>
      </c>
      <c r="D31" s="16" t="s">
        <v>37</v>
      </c>
      <c r="E31" s="17">
        <v>0</v>
      </c>
      <c r="F31" s="15"/>
      <c r="G31" s="16"/>
    </row>
    <row r="32" spans="1:7">
      <c r="A32" s="14" t="s">
        <v>98</v>
      </c>
      <c r="B32" s="14">
        <v>-728.570000000001</v>
      </c>
      <c r="D32" s="16" t="s">
        <v>38</v>
      </c>
      <c r="E32" s="17">
        <v>163.750000000002</v>
      </c>
      <c r="F32" s="15"/>
      <c r="G32" s="16"/>
    </row>
    <row r="33" spans="1:7">
      <c r="A33" s="14" t="s">
        <v>100</v>
      </c>
      <c r="B33" s="14">
        <v>96692.64</v>
      </c>
      <c r="D33" s="16" t="s">
        <v>39</v>
      </c>
      <c r="E33" s="17">
        <v>1192.47</v>
      </c>
      <c r="F33" s="15"/>
      <c r="G33" s="16"/>
    </row>
    <row r="34" spans="1:7">
      <c r="A34" s="14" t="s">
        <v>101</v>
      </c>
      <c r="B34" s="14">
        <v>-122.839999999999</v>
      </c>
      <c r="D34" s="16" t="s">
        <v>40</v>
      </c>
      <c r="E34" s="17">
        <v>1009.09</v>
      </c>
      <c r="F34" s="15"/>
      <c r="G34" s="16"/>
    </row>
    <row r="35" spans="1:7">
      <c r="A35" s="14" t="s">
        <v>102</v>
      </c>
      <c r="B35" s="14">
        <v>-332.969999999999</v>
      </c>
      <c r="D35" s="16" t="s">
        <v>41</v>
      </c>
      <c r="E35" s="17">
        <v>957.85</v>
      </c>
      <c r="F35" s="15"/>
      <c r="G35" s="16"/>
    </row>
    <row r="36" spans="1:7">
      <c r="A36" s="14" t="s">
        <v>103</v>
      </c>
      <c r="B36" s="14">
        <v>-2956.97</v>
      </c>
      <c r="D36" s="16" t="s">
        <v>42</v>
      </c>
      <c r="E36" s="17">
        <v>1118.38</v>
      </c>
      <c r="F36" s="15"/>
      <c r="G36" s="16"/>
    </row>
    <row r="37" spans="1:7">
      <c r="A37" s="14" t="s">
        <v>113</v>
      </c>
      <c r="B37" s="14">
        <v>134791.65</v>
      </c>
      <c r="D37" s="16" t="s">
        <v>43</v>
      </c>
      <c r="E37" s="17">
        <v>28.2399999999971</v>
      </c>
      <c r="F37" s="15"/>
      <c r="G37" s="16"/>
    </row>
    <row r="38" spans="1:7">
      <c r="A38" s="14" t="s">
        <v>69</v>
      </c>
      <c r="B38" s="14">
        <v>8808.67</v>
      </c>
      <c r="D38" s="16" t="s">
        <v>44</v>
      </c>
      <c r="E38" s="17">
        <v>82.5800000000004</v>
      </c>
      <c r="F38" s="15"/>
      <c r="G38" s="16"/>
    </row>
    <row r="39" spans="1:7">
      <c r="A39" s="14" t="s">
        <v>82</v>
      </c>
      <c r="B39" s="14">
        <v>842.550000000001</v>
      </c>
      <c r="D39" s="16" t="s">
        <v>45</v>
      </c>
      <c r="E39" s="17">
        <v>15.6999999999998</v>
      </c>
      <c r="F39" s="15"/>
      <c r="G39" s="16"/>
    </row>
    <row r="40" spans="1:7">
      <c r="A40" s="14" t="s">
        <v>105</v>
      </c>
      <c r="B40" s="14">
        <v>429.4</v>
      </c>
      <c r="D40" s="16" t="s">
        <v>46</v>
      </c>
      <c r="E40" s="17">
        <v>263.209999999992</v>
      </c>
      <c r="F40" s="15"/>
      <c r="G40" s="16"/>
    </row>
    <row r="41" spans="1:7">
      <c r="A41" s="14" t="s">
        <v>29</v>
      </c>
      <c r="B41" s="14">
        <v>-256.42</v>
      </c>
      <c r="D41" s="16" t="s">
        <v>47</v>
      </c>
      <c r="E41" s="17">
        <v>36.5</v>
      </c>
      <c r="F41" s="15"/>
      <c r="G41" s="16"/>
    </row>
    <row r="42" spans="1:7">
      <c r="A42" s="14" t="s">
        <v>59</v>
      </c>
      <c r="B42" s="14">
        <v>-60941.52</v>
      </c>
      <c r="D42" s="16" t="s">
        <v>48</v>
      </c>
      <c r="E42" s="17">
        <v>-655.470000000006</v>
      </c>
      <c r="F42" s="15"/>
      <c r="G42" s="16"/>
    </row>
    <row r="43" spans="1:7">
      <c r="A43" s="18" t="s">
        <v>114</v>
      </c>
      <c r="B43" s="19">
        <v>461.400000000351</v>
      </c>
      <c r="D43" s="16" t="s">
        <v>49</v>
      </c>
      <c r="E43" s="17">
        <v>1287.75</v>
      </c>
      <c r="F43" s="15"/>
      <c r="G43" s="16"/>
    </row>
    <row r="44" spans="4:7">
      <c r="D44" s="16" t="s">
        <v>50</v>
      </c>
      <c r="E44" s="17">
        <v>-26344.04</v>
      </c>
      <c r="F44" s="15"/>
      <c r="G44" s="16"/>
    </row>
    <row r="45" spans="4:7">
      <c r="D45" s="16" t="s">
        <v>51</v>
      </c>
      <c r="E45" s="17">
        <v>37384.59</v>
      </c>
      <c r="F45" s="15"/>
      <c r="G45" s="16"/>
    </row>
    <row r="46" spans="4:7">
      <c r="D46" s="16" t="s">
        <v>52</v>
      </c>
      <c r="E46" s="17">
        <v>5952.93</v>
      </c>
      <c r="F46" s="15"/>
      <c r="G46" s="16"/>
    </row>
    <row r="47" spans="4:7">
      <c r="D47" s="16" t="s">
        <v>53</v>
      </c>
      <c r="E47" s="17">
        <v>-3445</v>
      </c>
      <c r="F47" s="15"/>
      <c r="G47" s="16"/>
    </row>
    <row r="48" spans="4:7">
      <c r="D48" s="16" t="s">
        <v>54</v>
      </c>
      <c r="E48" s="17">
        <v>-102265.12</v>
      </c>
      <c r="F48" s="15"/>
      <c r="G48" s="16"/>
    </row>
    <row r="49" spans="4:7">
      <c r="D49" s="16" t="s">
        <v>56</v>
      </c>
      <c r="E49" s="17">
        <v>-725</v>
      </c>
      <c r="F49" s="15"/>
      <c r="G49" s="16"/>
    </row>
    <row r="50" spans="4:7">
      <c r="D50" s="16" t="s">
        <v>57</v>
      </c>
      <c r="E50" s="17">
        <v>-25061.42</v>
      </c>
      <c r="F50" s="15"/>
      <c r="G50" s="16"/>
    </row>
    <row r="51" spans="4:7">
      <c r="D51" s="16" t="s">
        <v>58</v>
      </c>
      <c r="E51" s="17">
        <v>-36461.31</v>
      </c>
      <c r="F51" s="15"/>
      <c r="G51" s="16"/>
    </row>
    <row r="52" spans="4:7">
      <c r="D52" s="16" t="s">
        <v>59</v>
      </c>
      <c r="E52" s="17">
        <v>-22069</v>
      </c>
      <c r="F52" s="15"/>
      <c r="G52" s="16"/>
    </row>
    <row r="53" spans="4:7">
      <c r="D53" s="16" t="s">
        <v>60</v>
      </c>
      <c r="E53" s="17">
        <v>-110</v>
      </c>
      <c r="F53" s="15"/>
      <c r="G53" s="16"/>
    </row>
    <row r="54" spans="4:7">
      <c r="D54" s="16" t="s">
        <v>61</v>
      </c>
      <c r="E54" s="17">
        <v>68428.14</v>
      </c>
      <c r="F54" s="15"/>
      <c r="G54" s="16"/>
    </row>
    <row r="55" spans="4:7">
      <c r="D55" s="16" t="s">
        <v>62</v>
      </c>
      <c r="E55" s="17">
        <v>-44845.55</v>
      </c>
      <c r="F55" s="15"/>
      <c r="G55" s="16"/>
    </row>
    <row r="56" spans="4:7">
      <c r="D56" s="16" t="s">
        <v>63</v>
      </c>
      <c r="E56" s="17">
        <v>114847.52</v>
      </c>
      <c r="F56" s="15"/>
      <c r="G56" s="16"/>
    </row>
    <row r="57" spans="4:7">
      <c r="D57" s="16" t="s">
        <v>64</v>
      </c>
      <c r="E57" s="17">
        <v>1773.24</v>
      </c>
      <c r="F57" s="15"/>
      <c r="G57" s="16"/>
    </row>
    <row r="58" spans="4:7">
      <c r="D58" s="16" t="s">
        <v>65</v>
      </c>
      <c r="E58" s="17">
        <v>-590.189999999999</v>
      </c>
      <c r="F58" s="15"/>
      <c r="G58" s="16"/>
    </row>
    <row r="59" spans="4:7">
      <c r="D59" s="16" t="s">
        <v>66</v>
      </c>
      <c r="E59" s="17">
        <v>-1109.23</v>
      </c>
      <c r="F59" s="15"/>
      <c r="G59" s="16"/>
    </row>
    <row r="60" spans="4:7">
      <c r="D60" s="16" t="s">
        <v>67</v>
      </c>
      <c r="E60" s="17">
        <v>722.189999999999</v>
      </c>
      <c r="F60" s="15"/>
      <c r="G60" s="16"/>
    </row>
    <row r="61" spans="4:7">
      <c r="D61" s="16" t="s">
        <v>70</v>
      </c>
      <c r="E61" s="17">
        <v>679.7</v>
      </c>
      <c r="F61" s="15"/>
      <c r="G61" s="16"/>
    </row>
    <row r="62" spans="4:7">
      <c r="D62" s="16" t="s">
        <v>71</v>
      </c>
      <c r="E62" s="17">
        <v>872.769999999997</v>
      </c>
      <c r="F62" s="15"/>
      <c r="G62" s="16"/>
    </row>
    <row r="63" spans="4:7">
      <c r="D63" s="16" t="s">
        <v>72</v>
      </c>
      <c r="E63" s="17">
        <v>281138.62</v>
      </c>
      <c r="F63" s="15"/>
      <c r="G63" s="16"/>
    </row>
    <row r="64" spans="4:7">
      <c r="D64" s="16" t="s">
        <v>73</v>
      </c>
      <c r="E64" s="17">
        <v>0</v>
      </c>
      <c r="F64" s="15"/>
      <c r="G64" s="16"/>
    </row>
    <row r="65" spans="4:7">
      <c r="D65" s="16" t="s">
        <v>74</v>
      </c>
      <c r="E65" s="17">
        <v>4340.56</v>
      </c>
      <c r="F65" s="15"/>
      <c r="G65" s="16"/>
    </row>
    <row r="66" spans="4:7">
      <c r="D66" s="16" t="s">
        <v>75</v>
      </c>
      <c r="E66" s="17">
        <v>-28788.86</v>
      </c>
      <c r="F66" s="15"/>
      <c r="G66" s="16"/>
    </row>
    <row r="67" spans="4:7">
      <c r="D67" s="16" t="s">
        <v>76</v>
      </c>
      <c r="E67" s="17">
        <v>689.269999999993</v>
      </c>
      <c r="F67" s="15"/>
      <c r="G67" s="16"/>
    </row>
    <row r="68" spans="4:7">
      <c r="D68" s="16" t="s">
        <v>77</v>
      </c>
      <c r="E68" s="17">
        <v>-756.62</v>
      </c>
      <c r="F68" s="15"/>
      <c r="G68" s="16"/>
    </row>
    <row r="69" spans="4:7">
      <c r="D69" s="16" t="s">
        <v>79</v>
      </c>
      <c r="E69" s="17">
        <v>3906.45000000003</v>
      </c>
      <c r="F69" s="15"/>
      <c r="G69" s="16"/>
    </row>
    <row r="70" spans="4:7">
      <c r="D70" s="16" t="s">
        <v>80</v>
      </c>
      <c r="E70" s="17">
        <v>91.5799999999999</v>
      </c>
      <c r="F70" s="15"/>
      <c r="G70" s="16"/>
    </row>
    <row r="71" spans="4:7">
      <c r="D71" s="16" t="s">
        <v>81</v>
      </c>
      <c r="E71" s="17">
        <v>2595.65</v>
      </c>
      <c r="F71" s="15"/>
      <c r="G71" s="16"/>
    </row>
    <row r="72" spans="4:7">
      <c r="D72" s="16" t="s">
        <v>83</v>
      </c>
      <c r="E72" s="17">
        <v>146.98</v>
      </c>
      <c r="F72" s="15"/>
      <c r="G72" s="16"/>
    </row>
    <row r="73" spans="4:7">
      <c r="D73" s="16" t="s">
        <v>85</v>
      </c>
      <c r="E73" s="17">
        <v>551.339999999997</v>
      </c>
      <c r="F73" s="15"/>
      <c r="G73" s="16"/>
    </row>
    <row r="74" spans="4:7">
      <c r="D74" s="16" t="s">
        <v>86</v>
      </c>
      <c r="E74" s="17">
        <v>841.540000000001</v>
      </c>
      <c r="F74" s="15"/>
      <c r="G74" s="16"/>
    </row>
    <row r="75" spans="4:7">
      <c r="D75" s="16" t="s">
        <v>87</v>
      </c>
      <c r="E75" s="17">
        <v>2349.76999999999</v>
      </c>
      <c r="F75" s="15"/>
      <c r="G75" s="16"/>
    </row>
    <row r="76" spans="4:7">
      <c r="D76" s="16" t="s">
        <v>89</v>
      </c>
      <c r="E76" s="17">
        <v>107.690000000001</v>
      </c>
      <c r="F76" s="15"/>
      <c r="G76" s="16"/>
    </row>
    <row r="77" spans="4:7">
      <c r="D77" s="16" t="s">
        <v>90</v>
      </c>
      <c r="E77" s="17">
        <v>644.189999999999</v>
      </c>
      <c r="F77" s="15"/>
      <c r="G77" s="16"/>
    </row>
    <row r="78" spans="4:7">
      <c r="D78" s="16" t="s">
        <v>91</v>
      </c>
      <c r="E78" s="17">
        <v>1877.78</v>
      </c>
      <c r="F78" s="15"/>
      <c r="G78" s="16"/>
    </row>
    <row r="79" spans="4:7">
      <c r="D79" s="16" t="s">
        <v>92</v>
      </c>
      <c r="E79" s="17">
        <v>376.170000000001</v>
      </c>
      <c r="F79" s="15"/>
      <c r="G79" s="16"/>
    </row>
    <row r="80" spans="4:7">
      <c r="D80" s="16" t="s">
        <v>93</v>
      </c>
      <c r="E80" s="17">
        <v>10998.74</v>
      </c>
      <c r="F80" s="15"/>
      <c r="G80" s="16"/>
    </row>
    <row r="81" spans="4:7">
      <c r="D81" s="16" t="s">
        <v>94</v>
      </c>
      <c r="E81" s="17">
        <v>186.890000000003</v>
      </c>
      <c r="F81" s="15"/>
      <c r="G81" s="16"/>
    </row>
    <row r="82" spans="4:7">
      <c r="D82" s="16" t="s">
        <v>96</v>
      </c>
      <c r="E82" s="17">
        <v>486.43</v>
      </c>
      <c r="F82" s="15"/>
      <c r="G82" s="16"/>
    </row>
    <row r="83" spans="4:7">
      <c r="D83" s="16" t="s">
        <v>97</v>
      </c>
      <c r="E83" s="17">
        <v>-8438.19</v>
      </c>
      <c r="F83" s="15"/>
      <c r="G83" s="16"/>
    </row>
    <row r="84" spans="4:7">
      <c r="D84" s="16" t="s">
        <v>98</v>
      </c>
      <c r="E84" s="17">
        <v>11.1399999999999</v>
      </c>
      <c r="F84" s="15"/>
      <c r="G84" s="16"/>
    </row>
    <row r="85" spans="4:7">
      <c r="D85" s="16" t="s">
        <v>99</v>
      </c>
      <c r="E85" s="17">
        <v>380.030000000001</v>
      </c>
      <c r="F85" s="15"/>
      <c r="G85" s="16"/>
    </row>
    <row r="86" spans="4:7">
      <c r="D86" s="16" t="s">
        <v>100</v>
      </c>
      <c r="E86" s="17">
        <v>-66443.83</v>
      </c>
      <c r="F86" s="15"/>
      <c r="G86" s="16"/>
    </row>
    <row r="87" spans="4:7">
      <c r="D87" s="16" t="s">
        <v>104</v>
      </c>
      <c r="E87" s="17">
        <v>36071.96</v>
      </c>
      <c r="F87" s="17"/>
      <c r="G87" s="16"/>
    </row>
    <row r="88" spans="4:7">
      <c r="D88" s="16" t="s">
        <v>106</v>
      </c>
      <c r="E88" s="17">
        <v>45454.93</v>
      </c>
      <c r="F88" s="17"/>
      <c r="G88" s="16"/>
    </row>
    <row r="89" spans="4:7">
      <c r="D89" s="16" t="s">
        <v>107</v>
      </c>
      <c r="E89" s="17">
        <v>-2170</v>
      </c>
      <c r="F89" s="17"/>
      <c r="G89" s="16"/>
    </row>
    <row r="90" spans="4:7">
      <c r="D90" s="16" t="s">
        <v>108</v>
      </c>
      <c r="E90" s="17">
        <v>-16250</v>
      </c>
      <c r="F90" s="17"/>
      <c r="G90" s="16"/>
    </row>
    <row r="91" spans="4:7">
      <c r="D91" s="16" t="s">
        <v>109</v>
      </c>
      <c r="E91" s="17">
        <v>-30030</v>
      </c>
      <c r="F91" s="17"/>
      <c r="G91" s="16"/>
    </row>
    <row r="92" spans="4:7">
      <c r="D92" s="16" t="s">
        <v>110</v>
      </c>
      <c r="E92" s="17">
        <v>0</v>
      </c>
      <c r="F92" s="17"/>
      <c r="G92" s="16"/>
    </row>
    <row r="93" spans="4:7">
      <c r="D93" s="16" t="s">
        <v>111</v>
      </c>
      <c r="E93" s="17">
        <v>0</v>
      </c>
      <c r="F93" s="17"/>
      <c r="G93" s="16"/>
    </row>
    <row r="94" spans="4:7">
      <c r="D94" s="16" t="s">
        <v>112</v>
      </c>
      <c r="E94" s="17">
        <v>-11537.7599999998</v>
      </c>
      <c r="F94" s="17"/>
      <c r="G94" s="16"/>
    </row>
    <row r="95" spans="4:7">
      <c r="D95" s="16" t="s">
        <v>113</v>
      </c>
      <c r="E95" s="17">
        <v>240211.980000001</v>
      </c>
      <c r="F95" s="17"/>
      <c r="G95" s="16"/>
    </row>
    <row r="96" spans="4:7">
      <c r="D96" s="18" t="s">
        <v>114</v>
      </c>
      <c r="E96" s="19">
        <v>-1326.18999999933</v>
      </c>
      <c r="F96" s="19"/>
      <c r="G96" s="16"/>
    </row>
    <row r="97" spans="7:7">
      <c r="G97" s="16"/>
    </row>
    <row r="98" spans="7:7">
      <c r="G98" s="16"/>
    </row>
    <row r="99" spans="7:7">
      <c r="G99" s="16"/>
    </row>
    <row r="100" spans="7:7">
      <c r="G100" s="16"/>
    </row>
    <row r="101" spans="7:7">
      <c r="G101" s="16"/>
    </row>
    <row r="102" spans="7:7">
      <c r="G102" s="16"/>
    </row>
    <row r="103" spans="7:7">
      <c r="G103" s="16"/>
    </row>
    <row r="104" spans="7:7">
      <c r="G104" s="16"/>
    </row>
    <row r="105" spans="7:7">
      <c r="G105" s="16"/>
    </row>
    <row r="106" spans="7:7">
      <c r="G106" s="16"/>
    </row>
    <row r="107" spans="7:7">
      <c r="G107" s="16"/>
    </row>
    <row r="108" spans="7:7">
      <c r="G108" s="16"/>
    </row>
    <row r="109" spans="7:7">
      <c r="G109" s="16"/>
    </row>
    <row r="110" spans="7:7">
      <c r="G110" s="16"/>
    </row>
    <row r="111" spans="7:7">
      <c r="G111" s="16"/>
    </row>
    <row r="112" spans="7:7">
      <c r="G112" s="16"/>
    </row>
    <row r="113" spans="7:7">
      <c r="G113" s="16"/>
    </row>
    <row r="114" spans="7:7">
      <c r="G114" s="18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288"/>
  <sheetViews>
    <sheetView workbookViewId="0">
      <pane ySplit="1" topLeftCell="A2" activePane="bottomLeft" state="frozen"/>
      <selection/>
      <selection pane="bottomLeft" activeCell="N1" sqref="A$1:A$1048576 B$1:B$1048576 N$1:N$1048576"/>
    </sheetView>
  </sheetViews>
  <sheetFormatPr defaultColWidth="9" defaultRowHeight="13.5"/>
  <cols>
    <col min="1" max="1" width="11.125" customWidth="1"/>
    <col min="4" max="4" width="17.875" customWidth="1"/>
    <col min="5" max="6" width="9" customWidth="1"/>
    <col min="7" max="7" width="9.375" customWidth="1"/>
    <col min="8" max="13" width="9" customWidth="1"/>
    <col min="14" max="14" width="13.75"/>
    <col min="15" max="15" width="10.375"/>
  </cols>
  <sheetData>
    <row r="1" spans="1:16">
      <c r="A1" s="2" t="str">
        <f>"交割日期"</f>
        <v>交割日期</v>
      </c>
      <c r="B1" s="2" t="str">
        <f>"证券代码"</f>
        <v>证券代码</v>
      </c>
      <c r="C1" s="2" t="str">
        <f>"证券名称"</f>
        <v>证券名称</v>
      </c>
      <c r="D1" s="2" t="str">
        <f>"业务名称"</f>
        <v>业务名称</v>
      </c>
      <c r="E1" s="2" t="str">
        <f>"成交价格"</f>
        <v>成交价格</v>
      </c>
      <c r="F1" s="2" t="str">
        <f>"成交数量"</f>
        <v>成交数量</v>
      </c>
      <c r="G1" s="2" t="str">
        <f>"成交金额"</f>
        <v>成交金额</v>
      </c>
      <c r="H1" s="2" t="str">
        <f>"手续费"</f>
        <v>手续费</v>
      </c>
      <c r="I1" s="2" t="str">
        <f>"净佣金"</f>
        <v>净佣金</v>
      </c>
      <c r="J1" s="2" t="str">
        <f>"印花税"</f>
        <v>印花税</v>
      </c>
      <c r="K1" s="2" t="str">
        <f>"过户费"</f>
        <v>过户费</v>
      </c>
      <c r="L1" s="2" t="str">
        <f>"结算费"</f>
        <v>结算费</v>
      </c>
      <c r="M1" s="2" t="str">
        <f>"其他费"</f>
        <v>其他费</v>
      </c>
      <c r="N1" s="2" t="str">
        <f>"发生金额"</f>
        <v>发生金额</v>
      </c>
      <c r="O1" s="2" t="str">
        <f>"剩余金额"</f>
        <v>剩余金额</v>
      </c>
      <c r="P1" s="2" t="str">
        <f>"证券数量"</f>
        <v>证券数量</v>
      </c>
    </row>
    <row r="2" spans="1:16">
      <c r="A2" s="2" t="str">
        <f t="shared" ref="A2:A6" si="0">"20140924"</f>
        <v>20140924</v>
      </c>
      <c r="B2" s="2" t="str">
        <f>"000606"</f>
        <v>000606</v>
      </c>
      <c r="C2" s="2" t="str">
        <f>"青海明胶"</f>
        <v>青海明胶</v>
      </c>
      <c r="D2" s="2" t="str">
        <f t="shared" ref="D2:D6" si="1">"担保物转入"</f>
        <v>担保物转入</v>
      </c>
      <c r="E2" s="2">
        <v>7.13</v>
      </c>
      <c r="F2" s="2">
        <v>1500</v>
      </c>
      <c r="G2" s="2">
        <v>10695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1500</v>
      </c>
    </row>
    <row r="3" spans="1:16">
      <c r="A3" s="2" t="str">
        <f t="shared" si="0"/>
        <v>20140924</v>
      </c>
      <c r="B3" s="2" t="str">
        <f>"150181"</f>
        <v>150181</v>
      </c>
      <c r="C3" s="2" t="str">
        <f>"军工A"</f>
        <v>军工A</v>
      </c>
      <c r="D3" s="2" t="str">
        <f t="shared" si="1"/>
        <v>担保物转入</v>
      </c>
      <c r="E3" s="2">
        <v>0.902</v>
      </c>
      <c r="F3" s="2">
        <v>23100</v>
      </c>
      <c r="G3" s="2">
        <v>20836.2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23100</v>
      </c>
    </row>
    <row r="4" spans="1:16">
      <c r="A4" s="2" t="str">
        <f t="shared" si="0"/>
        <v>20140924</v>
      </c>
      <c r="B4" s="2" t="str">
        <f>"601607"</f>
        <v>601607</v>
      </c>
      <c r="C4" s="2" t="str">
        <f>"上海医药"</f>
        <v>上海医药</v>
      </c>
      <c r="D4" s="2" t="str">
        <f t="shared" si="1"/>
        <v>担保物转入</v>
      </c>
      <c r="E4" s="2">
        <v>13.66</v>
      </c>
      <c r="F4" s="2">
        <v>2000</v>
      </c>
      <c r="G4" s="2">
        <v>27320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2000</v>
      </c>
    </row>
    <row r="5" spans="1:16">
      <c r="A5" s="2" t="str">
        <f t="shared" si="0"/>
        <v>20140924</v>
      </c>
      <c r="B5" s="2" t="str">
        <f>"601166"</f>
        <v>601166</v>
      </c>
      <c r="C5" s="2" t="str">
        <f>"兴业银行"</f>
        <v>兴业银行</v>
      </c>
      <c r="D5" s="2" t="str">
        <f t="shared" si="1"/>
        <v>担保物转入</v>
      </c>
      <c r="E5" s="2">
        <v>10.87</v>
      </c>
      <c r="F5" s="2">
        <v>800</v>
      </c>
      <c r="G5" s="2">
        <v>8696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800</v>
      </c>
    </row>
    <row r="6" spans="1:16">
      <c r="A6" s="2" t="str">
        <f t="shared" si="0"/>
        <v>20140924</v>
      </c>
      <c r="B6" s="2" t="str">
        <f>"601607"</f>
        <v>601607</v>
      </c>
      <c r="C6" s="2" t="str">
        <f>"上海医药"</f>
        <v>上海医药</v>
      </c>
      <c r="D6" s="2" t="str">
        <f t="shared" si="1"/>
        <v>担保物转入</v>
      </c>
      <c r="E6" s="2">
        <v>13.66</v>
      </c>
      <c r="F6" s="2">
        <v>1900</v>
      </c>
      <c r="G6" s="2">
        <v>25954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3900</v>
      </c>
    </row>
    <row r="7" s="3" customFormat="1" spans="1:16">
      <c r="A7" s="6" t="str">
        <f>"20140925"</f>
        <v>20140925</v>
      </c>
      <c r="B7" s="6" t="str">
        <f>"000541"</f>
        <v>000541</v>
      </c>
      <c r="C7" s="6" t="str">
        <f>"佛山照明"</f>
        <v>佛山照明</v>
      </c>
      <c r="D7" s="6" t="str">
        <f>"融资买入"</f>
        <v>融资买入</v>
      </c>
      <c r="E7" s="6">
        <v>12.17</v>
      </c>
      <c r="F7" s="6">
        <v>500</v>
      </c>
      <c r="G7" s="6">
        <v>6085</v>
      </c>
      <c r="H7" s="6">
        <v>6.69</v>
      </c>
      <c r="I7" s="6">
        <v>5.99</v>
      </c>
      <c r="J7" s="6">
        <v>0</v>
      </c>
      <c r="K7" s="6">
        <v>0</v>
      </c>
      <c r="L7" s="6">
        <v>0</v>
      </c>
      <c r="M7" s="6">
        <v>0</v>
      </c>
      <c r="N7" s="8">
        <v>-6091.69</v>
      </c>
      <c r="O7" s="6">
        <v>-6091.69</v>
      </c>
      <c r="P7" s="6">
        <v>500</v>
      </c>
    </row>
    <row r="8" spans="1:16">
      <c r="A8" s="2" t="str">
        <f>"20140925"</f>
        <v>20140925</v>
      </c>
      <c r="B8" s="2"/>
      <c r="C8" s="2"/>
      <c r="D8" s="2" t="str">
        <f>"融资借入"</f>
        <v>融资借入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6091.69</v>
      </c>
      <c r="O8" s="2">
        <v>0</v>
      </c>
      <c r="P8" s="2">
        <v>0</v>
      </c>
    </row>
    <row r="9" spans="1:16">
      <c r="A9" s="2" t="str">
        <f t="shared" ref="A9:A14" si="2">"20140926"</f>
        <v>20140926</v>
      </c>
      <c r="B9" s="2"/>
      <c r="C9" s="2"/>
      <c r="D9" s="2" t="str">
        <f>"银行转证券"</f>
        <v>银行转证券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200</v>
      </c>
      <c r="O9" s="2">
        <v>200</v>
      </c>
      <c r="P9" s="2">
        <v>0</v>
      </c>
    </row>
    <row r="10" spans="1:16">
      <c r="A10" s="2" t="str">
        <f t="shared" si="2"/>
        <v>20140926</v>
      </c>
      <c r="B10" s="2" t="str">
        <f>"601607"</f>
        <v>601607</v>
      </c>
      <c r="C10" s="2" t="str">
        <f>"上海医药"</f>
        <v>上海医药</v>
      </c>
      <c r="D10" s="2" t="str">
        <f>"担保物转入"</f>
        <v>担保物转入</v>
      </c>
      <c r="E10" s="2">
        <v>15.34</v>
      </c>
      <c r="F10" s="2">
        <v>1000</v>
      </c>
      <c r="G10" s="2">
        <v>15340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200</v>
      </c>
      <c r="P10" s="2">
        <v>4900</v>
      </c>
    </row>
    <row r="11" spans="1:16">
      <c r="A11" s="2" t="str">
        <f t="shared" si="2"/>
        <v>20140926</v>
      </c>
      <c r="B11" s="2" t="str">
        <f>"000541"</f>
        <v>000541</v>
      </c>
      <c r="C11" s="2" t="str">
        <f>"佛山照明"</f>
        <v>佛山照明</v>
      </c>
      <c r="D11" s="2" t="str">
        <f>"担保品卖出"</f>
        <v>担保品卖出</v>
      </c>
      <c r="E11" s="2">
        <v>11.88</v>
      </c>
      <c r="F11" s="2">
        <v>500</v>
      </c>
      <c r="G11" s="2">
        <v>5940</v>
      </c>
      <c r="H11" s="2">
        <v>5</v>
      </c>
      <c r="I11" s="2">
        <v>4.32</v>
      </c>
      <c r="J11" s="2">
        <v>5.94</v>
      </c>
      <c r="K11" s="2">
        <v>0</v>
      </c>
      <c r="L11" s="2">
        <v>0</v>
      </c>
      <c r="M11" s="2">
        <v>0</v>
      </c>
      <c r="N11" s="2">
        <v>5929.06</v>
      </c>
      <c r="O11" s="2">
        <v>6129.06</v>
      </c>
      <c r="P11" s="2">
        <v>0</v>
      </c>
    </row>
    <row r="12" s="4" customFormat="1" spans="1:16">
      <c r="A12" s="7" t="str">
        <f t="shared" si="2"/>
        <v>20140926</v>
      </c>
      <c r="B12" s="7"/>
      <c r="C12" s="7"/>
      <c r="D12" s="7" t="str">
        <f>"偿还融资负债本金"</f>
        <v>偿还融资负债本金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9">
        <v>-177.01</v>
      </c>
      <c r="O12" s="7">
        <v>5952.05</v>
      </c>
      <c r="P12" s="7">
        <v>0</v>
      </c>
    </row>
    <row r="13" s="4" customFormat="1" spans="1:16">
      <c r="A13" s="7" t="str">
        <f t="shared" si="2"/>
        <v>20140926</v>
      </c>
      <c r="B13" s="7"/>
      <c r="C13" s="7"/>
      <c r="D13" s="7" t="str">
        <f>"偿还融资负债本金"</f>
        <v>偿还融资负债本金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9">
        <v>-5914.68</v>
      </c>
      <c r="O13" s="7">
        <v>37.37</v>
      </c>
      <c r="P13" s="7">
        <v>0</v>
      </c>
    </row>
    <row r="14" spans="1:16">
      <c r="A14" s="2" t="str">
        <f t="shared" si="2"/>
        <v>20140926</v>
      </c>
      <c r="B14" s="2"/>
      <c r="C14" s="2"/>
      <c r="D14" s="2" t="str">
        <f>"偿还融资利息"</f>
        <v>偿还融资利息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10">
        <v>-1.46</v>
      </c>
      <c r="O14" s="2">
        <v>35.91</v>
      </c>
      <c r="P14" s="2">
        <v>0</v>
      </c>
    </row>
    <row r="15" spans="1:16">
      <c r="A15" s="2" t="str">
        <f>"20141008"</f>
        <v>20141008</v>
      </c>
      <c r="B15" s="2" t="str">
        <f t="shared" ref="B15:B19" si="3">"600066"</f>
        <v>600066</v>
      </c>
      <c r="C15" s="2" t="str">
        <f t="shared" ref="C15:C19" si="4">"宇通客车"</f>
        <v>宇通客车</v>
      </c>
      <c r="D15" s="2" t="str">
        <f>"融资买入"</f>
        <v>融资买入</v>
      </c>
      <c r="E15" s="2">
        <v>18.51</v>
      </c>
      <c r="F15" s="2">
        <v>3000</v>
      </c>
      <c r="G15" s="2">
        <v>55530</v>
      </c>
      <c r="H15" s="2">
        <v>61.08</v>
      </c>
      <c r="I15" s="2">
        <v>56.11</v>
      </c>
      <c r="J15" s="2">
        <v>0</v>
      </c>
      <c r="K15" s="2">
        <v>1.8</v>
      </c>
      <c r="L15" s="2">
        <v>0</v>
      </c>
      <c r="M15" s="2">
        <v>0</v>
      </c>
      <c r="N15" s="11">
        <v>-55592.88</v>
      </c>
      <c r="O15" s="2">
        <v>-55556.97</v>
      </c>
      <c r="P15" s="2">
        <v>3000</v>
      </c>
    </row>
    <row r="16" spans="1:16">
      <c r="A16" s="2" t="str">
        <f>"20141008"</f>
        <v>20141008</v>
      </c>
      <c r="B16" s="2"/>
      <c r="C16" s="2"/>
      <c r="D16" s="2" t="str">
        <f>"融资借入"</f>
        <v>融资借入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55592.88</v>
      </c>
      <c r="O16" s="2">
        <v>35.91</v>
      </c>
      <c r="P16" s="2">
        <v>0</v>
      </c>
    </row>
    <row r="17" spans="1:16">
      <c r="A17" s="2" t="str">
        <f t="shared" ref="A17:A31" si="5">"20141010"</f>
        <v>20141010</v>
      </c>
      <c r="B17" s="2" t="str">
        <f>"161024"</f>
        <v>161024</v>
      </c>
      <c r="C17" s="2" t="str">
        <f>"富国军工"</f>
        <v>富国军工</v>
      </c>
      <c r="D17" s="2" t="str">
        <f>"证券分拆记增/基"</f>
        <v>证券分拆记增/基</v>
      </c>
      <c r="E17" s="2">
        <v>0</v>
      </c>
      <c r="F17" s="2">
        <v>708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35.91</v>
      </c>
      <c r="P17" s="2">
        <v>708</v>
      </c>
    </row>
    <row r="18" s="5" customFormat="1" spans="1:16">
      <c r="A18" s="2" t="str">
        <f t="shared" si="5"/>
        <v>20141010</v>
      </c>
      <c r="B18" s="2" t="str">
        <f t="shared" si="3"/>
        <v>600066</v>
      </c>
      <c r="C18" s="2" t="str">
        <f t="shared" si="4"/>
        <v>宇通客车</v>
      </c>
      <c r="D18" s="2" t="str">
        <f t="shared" ref="D18:D22" si="6">"卖券还款"</f>
        <v>卖券还款</v>
      </c>
      <c r="E18" s="2">
        <v>18.95</v>
      </c>
      <c r="F18" s="2">
        <v>1000</v>
      </c>
      <c r="G18" s="2">
        <v>18950</v>
      </c>
      <c r="H18" s="2">
        <v>20.85</v>
      </c>
      <c r="I18" s="2">
        <v>19.15</v>
      </c>
      <c r="J18" s="2">
        <v>18.95</v>
      </c>
      <c r="K18" s="2">
        <v>0.6</v>
      </c>
      <c r="L18" s="2">
        <v>0</v>
      </c>
      <c r="M18" s="2">
        <v>0</v>
      </c>
      <c r="N18" s="2">
        <v>18909.6</v>
      </c>
      <c r="O18" s="2">
        <v>18945.51</v>
      </c>
      <c r="P18" s="2">
        <v>2000</v>
      </c>
    </row>
    <row r="19" s="5" customFormat="1" spans="1:16">
      <c r="A19" s="2" t="str">
        <f t="shared" si="5"/>
        <v>20141010</v>
      </c>
      <c r="B19" s="2" t="str">
        <f t="shared" si="3"/>
        <v>600066</v>
      </c>
      <c r="C19" s="2" t="str">
        <f t="shared" si="4"/>
        <v>宇通客车</v>
      </c>
      <c r="D19" s="2" t="str">
        <f t="shared" si="6"/>
        <v>卖券还款</v>
      </c>
      <c r="E19" s="2">
        <v>19.29</v>
      </c>
      <c r="F19" s="2">
        <v>1000</v>
      </c>
      <c r="G19" s="2">
        <v>19290</v>
      </c>
      <c r="H19" s="2">
        <v>21.22</v>
      </c>
      <c r="I19" s="2">
        <v>19.49</v>
      </c>
      <c r="J19" s="2">
        <v>19.29</v>
      </c>
      <c r="K19" s="2">
        <v>0.6</v>
      </c>
      <c r="L19" s="2">
        <v>0</v>
      </c>
      <c r="M19" s="2">
        <v>0</v>
      </c>
      <c r="N19" s="2">
        <v>19248.89</v>
      </c>
      <c r="O19" s="2">
        <v>38194.4</v>
      </c>
      <c r="P19" s="2">
        <v>1000</v>
      </c>
    </row>
    <row r="20" s="5" customFormat="1" spans="1:16">
      <c r="A20" s="2" t="str">
        <f t="shared" si="5"/>
        <v>20141010</v>
      </c>
      <c r="B20" s="2" t="str">
        <f t="shared" ref="B20:B23" si="7">"600467"</f>
        <v>600467</v>
      </c>
      <c r="C20" s="2" t="str">
        <f t="shared" ref="C20:C23" si="8">"好当家"</f>
        <v>好当家</v>
      </c>
      <c r="D20" s="2" t="str">
        <f t="shared" ref="D20:D23" si="9">"融资买入"</f>
        <v>融资买入</v>
      </c>
      <c r="E20" s="2">
        <v>6.26</v>
      </c>
      <c r="F20" s="2">
        <v>2000</v>
      </c>
      <c r="G20" s="2">
        <v>12520</v>
      </c>
      <c r="H20" s="2">
        <v>13.77</v>
      </c>
      <c r="I20" s="2">
        <v>12.65</v>
      </c>
      <c r="J20" s="2">
        <v>0</v>
      </c>
      <c r="K20" s="2">
        <v>1.2</v>
      </c>
      <c r="L20" s="2">
        <v>0</v>
      </c>
      <c r="M20" s="2">
        <v>0</v>
      </c>
      <c r="N20" s="11">
        <v>-12534.97</v>
      </c>
      <c r="O20" s="2">
        <v>25659.43</v>
      </c>
      <c r="P20" s="2">
        <v>2000</v>
      </c>
    </row>
    <row r="21" s="5" customFormat="1" spans="1:16">
      <c r="A21" s="2" t="str">
        <f t="shared" si="5"/>
        <v>20141010</v>
      </c>
      <c r="B21" s="2" t="str">
        <f t="shared" si="7"/>
        <v>600467</v>
      </c>
      <c r="C21" s="2" t="str">
        <f t="shared" si="8"/>
        <v>好当家</v>
      </c>
      <c r="D21" s="2" t="str">
        <f t="shared" si="9"/>
        <v>融资买入</v>
      </c>
      <c r="E21" s="2">
        <v>6.26</v>
      </c>
      <c r="F21" s="2">
        <v>2000</v>
      </c>
      <c r="G21" s="2">
        <v>12520</v>
      </c>
      <c r="H21" s="2">
        <v>13.77</v>
      </c>
      <c r="I21" s="2">
        <v>12.65</v>
      </c>
      <c r="J21" s="2">
        <v>0</v>
      </c>
      <c r="K21" s="2">
        <v>1.2</v>
      </c>
      <c r="L21" s="2">
        <v>0</v>
      </c>
      <c r="M21" s="2">
        <v>0</v>
      </c>
      <c r="N21" s="11">
        <v>-12534.97</v>
      </c>
      <c r="O21" s="2">
        <v>13124.46</v>
      </c>
      <c r="P21" s="2">
        <v>4000</v>
      </c>
    </row>
    <row r="22" s="5" customFormat="1" spans="1:16">
      <c r="A22" s="2" t="str">
        <f t="shared" si="5"/>
        <v>20141010</v>
      </c>
      <c r="B22" s="2" t="str">
        <f>"600066"</f>
        <v>600066</v>
      </c>
      <c r="C22" s="2" t="str">
        <f>"宇通客车"</f>
        <v>宇通客车</v>
      </c>
      <c r="D22" s="2" t="str">
        <f t="shared" si="6"/>
        <v>卖券还款</v>
      </c>
      <c r="E22" s="2">
        <v>19.09</v>
      </c>
      <c r="F22" s="2">
        <v>1000</v>
      </c>
      <c r="G22" s="2">
        <v>19090</v>
      </c>
      <c r="H22" s="2">
        <v>21</v>
      </c>
      <c r="I22" s="2">
        <v>19.3</v>
      </c>
      <c r="J22" s="2">
        <v>19.09</v>
      </c>
      <c r="K22" s="2">
        <v>0.6</v>
      </c>
      <c r="L22" s="2">
        <v>0</v>
      </c>
      <c r="M22" s="2">
        <v>0</v>
      </c>
      <c r="N22" s="2">
        <v>19049.31</v>
      </c>
      <c r="O22" s="2">
        <v>32173.77</v>
      </c>
      <c r="P22" s="2">
        <v>0</v>
      </c>
    </row>
    <row r="23" s="5" customFormat="1" spans="1:16">
      <c r="A23" s="2" t="str">
        <f t="shared" si="5"/>
        <v>20141010</v>
      </c>
      <c r="B23" s="2" t="str">
        <f t="shared" si="7"/>
        <v>600467</v>
      </c>
      <c r="C23" s="2" t="str">
        <f t="shared" si="8"/>
        <v>好当家</v>
      </c>
      <c r="D23" s="2" t="str">
        <f t="shared" si="9"/>
        <v>融资买入</v>
      </c>
      <c r="E23" s="2">
        <v>6.19</v>
      </c>
      <c r="F23" s="2">
        <v>1000</v>
      </c>
      <c r="G23" s="2">
        <v>6190</v>
      </c>
      <c r="H23" s="2">
        <v>6.81</v>
      </c>
      <c r="I23" s="2">
        <v>6.26</v>
      </c>
      <c r="J23" s="2">
        <v>0</v>
      </c>
      <c r="K23" s="2">
        <v>0.6</v>
      </c>
      <c r="L23" s="2">
        <v>0</v>
      </c>
      <c r="M23" s="2">
        <v>0</v>
      </c>
      <c r="N23" s="2">
        <v>-6197.41</v>
      </c>
      <c r="O23" s="2">
        <v>25976.36</v>
      </c>
      <c r="P23" s="2">
        <v>5000</v>
      </c>
    </row>
    <row r="24" s="5" customFormat="1" spans="1:16">
      <c r="A24" s="2" t="str">
        <f t="shared" si="5"/>
        <v>20141010</v>
      </c>
      <c r="B24" s="2"/>
      <c r="C24" s="2"/>
      <c r="D24" s="2" t="str">
        <f t="shared" ref="D24:D26" si="10">"融资借入"</f>
        <v>融资借入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12534.97</v>
      </c>
      <c r="O24" s="2">
        <v>38511.33</v>
      </c>
      <c r="P24" s="2">
        <v>0</v>
      </c>
    </row>
    <row r="25" s="5" customFormat="1" spans="1:16">
      <c r="A25" s="2" t="str">
        <f t="shared" si="5"/>
        <v>20141010</v>
      </c>
      <c r="B25" s="2"/>
      <c r="C25" s="2"/>
      <c r="D25" s="2" t="str">
        <f t="shared" si="10"/>
        <v>融资借入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12534.97</v>
      </c>
      <c r="O25" s="2">
        <v>51046.3</v>
      </c>
      <c r="P25" s="2">
        <v>0</v>
      </c>
    </row>
    <row r="26" s="5" customFormat="1" spans="1:16">
      <c r="A26" s="2" t="str">
        <f t="shared" si="5"/>
        <v>20141010</v>
      </c>
      <c r="B26" s="2"/>
      <c r="C26" s="2"/>
      <c r="D26" s="2" t="str">
        <f t="shared" si="10"/>
        <v>融资借入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6197.41</v>
      </c>
      <c r="O26" s="2">
        <v>57243.71</v>
      </c>
      <c r="P26" s="2">
        <v>0</v>
      </c>
    </row>
    <row r="27" s="5" customFormat="1" spans="1:16">
      <c r="A27" s="2" t="str">
        <f t="shared" si="5"/>
        <v>20141010</v>
      </c>
      <c r="B27" s="2"/>
      <c r="C27" s="2"/>
      <c r="D27" s="2" t="str">
        <f>"偿还融资利息"</f>
        <v>偿还融资利息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-26.56</v>
      </c>
      <c r="O27" s="2">
        <v>57217.15</v>
      </c>
      <c r="P27" s="2">
        <v>0</v>
      </c>
    </row>
    <row r="28" s="5" customFormat="1" spans="1:16">
      <c r="A28" s="2" t="str">
        <f t="shared" si="5"/>
        <v>20141010</v>
      </c>
      <c r="B28" s="2"/>
      <c r="C28" s="2"/>
      <c r="D28" s="2" t="str">
        <f t="shared" ref="D28:D31" si="11">"偿还融资负债本金"</f>
        <v>偿还融资负债本金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12">
        <v>-18883.04</v>
      </c>
      <c r="O28" s="2">
        <v>38334.11</v>
      </c>
      <c r="P28" s="2">
        <v>0</v>
      </c>
    </row>
    <row r="29" spans="1:16">
      <c r="A29" s="2" t="str">
        <f t="shared" si="5"/>
        <v>20141010</v>
      </c>
      <c r="B29" s="2"/>
      <c r="C29" s="2"/>
      <c r="D29" s="2" t="str">
        <f t="shared" si="11"/>
        <v>偿还融资负债本金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12">
        <v>-19248.89</v>
      </c>
      <c r="O29" s="2">
        <v>19085.22</v>
      </c>
      <c r="P29" s="2">
        <v>0</v>
      </c>
    </row>
    <row r="30" spans="1:16">
      <c r="A30" s="2" t="str">
        <f t="shared" si="5"/>
        <v>20141010</v>
      </c>
      <c r="B30" s="2"/>
      <c r="C30" s="2"/>
      <c r="D30" s="2" t="str">
        <f t="shared" si="11"/>
        <v>偿还融资负债本金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12">
        <v>-17460.95</v>
      </c>
      <c r="O30" s="2">
        <v>1624.27</v>
      </c>
      <c r="P30" s="2">
        <v>0</v>
      </c>
    </row>
    <row r="31" spans="1:16">
      <c r="A31" s="2" t="str">
        <f t="shared" si="5"/>
        <v>20141010</v>
      </c>
      <c r="B31" s="2"/>
      <c r="C31" s="2"/>
      <c r="D31" s="2" t="str">
        <f t="shared" si="11"/>
        <v>偿还融资负债本金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12">
        <v>-1588.36</v>
      </c>
      <c r="O31" s="2">
        <v>35.91</v>
      </c>
      <c r="P31" s="2">
        <v>0</v>
      </c>
    </row>
    <row r="32" spans="1:16">
      <c r="A32" s="2" t="str">
        <f>"20141013"</f>
        <v>20141013</v>
      </c>
      <c r="B32" s="2" t="str">
        <f>"161024"</f>
        <v>161024</v>
      </c>
      <c r="C32" s="2" t="str">
        <f>"富国军工"</f>
        <v>富国军工</v>
      </c>
      <c r="D32" s="2" t="str">
        <f>"担保物转出"</f>
        <v>担保物转出</v>
      </c>
      <c r="E32" s="2">
        <v>1</v>
      </c>
      <c r="F32" s="2">
        <v>708</v>
      </c>
      <c r="G32" s="2">
        <v>708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35.91</v>
      </c>
      <c r="P32" s="2">
        <v>0</v>
      </c>
    </row>
    <row r="33" spans="1:16">
      <c r="A33" s="2" t="str">
        <f t="shared" ref="A33:A45" si="12">"20141014"</f>
        <v>20141014</v>
      </c>
      <c r="B33" s="2" t="str">
        <f t="shared" ref="B33:B36" si="13">"600467"</f>
        <v>600467</v>
      </c>
      <c r="C33" s="2" t="str">
        <f t="shared" ref="C33:C36" si="14">"好当家"</f>
        <v>好当家</v>
      </c>
      <c r="D33" s="2" t="str">
        <f>"卖券还款"</f>
        <v>卖券还款</v>
      </c>
      <c r="E33" s="2">
        <v>6.2</v>
      </c>
      <c r="F33" s="2">
        <v>3000</v>
      </c>
      <c r="G33" s="2">
        <v>18600</v>
      </c>
      <c r="H33" s="2">
        <v>20.46</v>
      </c>
      <c r="I33" s="2">
        <v>18.8</v>
      </c>
      <c r="J33" s="2">
        <v>18.6</v>
      </c>
      <c r="K33" s="2">
        <v>1.8</v>
      </c>
      <c r="L33" s="2">
        <v>0</v>
      </c>
      <c r="M33" s="2">
        <v>0</v>
      </c>
      <c r="N33" s="2">
        <v>18559.14</v>
      </c>
      <c r="O33" s="2">
        <v>18595.05</v>
      </c>
      <c r="P33" s="2">
        <v>2000</v>
      </c>
    </row>
    <row r="34" spans="1:16">
      <c r="A34" s="2" t="str">
        <f t="shared" si="12"/>
        <v>20141014</v>
      </c>
      <c r="B34" s="2" t="str">
        <f t="shared" si="13"/>
        <v>600467</v>
      </c>
      <c r="C34" s="2" t="str">
        <f t="shared" si="14"/>
        <v>好当家</v>
      </c>
      <c r="D34" s="2" t="str">
        <f>"卖券还款"</f>
        <v>卖券还款</v>
      </c>
      <c r="E34" s="2">
        <v>6.2</v>
      </c>
      <c r="F34" s="2">
        <v>1000</v>
      </c>
      <c r="G34" s="2">
        <v>6200</v>
      </c>
      <c r="H34" s="2">
        <v>6.82</v>
      </c>
      <c r="I34" s="2">
        <v>6.27</v>
      </c>
      <c r="J34" s="2">
        <v>6.2</v>
      </c>
      <c r="K34" s="2">
        <v>0.6</v>
      </c>
      <c r="L34" s="2">
        <v>0</v>
      </c>
      <c r="M34" s="2">
        <v>0</v>
      </c>
      <c r="N34" s="2">
        <v>6186.38</v>
      </c>
      <c r="O34" s="2">
        <v>24781.43</v>
      </c>
      <c r="P34" s="2">
        <v>1000</v>
      </c>
    </row>
    <row r="35" spans="1:16">
      <c r="A35" s="2" t="str">
        <f t="shared" si="12"/>
        <v>20141014</v>
      </c>
      <c r="B35" s="2" t="str">
        <f t="shared" si="13"/>
        <v>600467</v>
      </c>
      <c r="C35" s="2" t="str">
        <f t="shared" si="14"/>
        <v>好当家</v>
      </c>
      <c r="D35" s="2" t="str">
        <f>"融资买入"</f>
        <v>融资买入</v>
      </c>
      <c r="E35" s="2">
        <v>6.17</v>
      </c>
      <c r="F35" s="2">
        <v>1000</v>
      </c>
      <c r="G35" s="2">
        <v>6170</v>
      </c>
      <c r="H35" s="2">
        <v>6.79</v>
      </c>
      <c r="I35" s="2">
        <v>6.24</v>
      </c>
      <c r="J35" s="2">
        <v>0</v>
      </c>
      <c r="K35" s="2">
        <v>0.6</v>
      </c>
      <c r="L35" s="2">
        <v>0</v>
      </c>
      <c r="M35" s="2">
        <v>0</v>
      </c>
      <c r="N35" s="11">
        <v>-6177.39</v>
      </c>
      <c r="O35" s="2">
        <v>18604.04</v>
      </c>
      <c r="P35" s="2">
        <v>2000</v>
      </c>
    </row>
    <row r="36" spans="1:16">
      <c r="A36" s="2" t="str">
        <f t="shared" si="12"/>
        <v>20141014</v>
      </c>
      <c r="B36" s="2" t="str">
        <f t="shared" si="13"/>
        <v>600467</v>
      </c>
      <c r="C36" s="2" t="str">
        <f t="shared" si="14"/>
        <v>好当家</v>
      </c>
      <c r="D36" s="2" t="str">
        <f>"融资买入"</f>
        <v>融资买入</v>
      </c>
      <c r="E36" s="2">
        <v>6.13</v>
      </c>
      <c r="F36" s="2">
        <v>1000</v>
      </c>
      <c r="G36" s="2">
        <v>6130</v>
      </c>
      <c r="H36" s="2">
        <v>6.74</v>
      </c>
      <c r="I36" s="2">
        <v>6.19</v>
      </c>
      <c r="J36" s="2">
        <v>0</v>
      </c>
      <c r="K36" s="2">
        <v>0.6</v>
      </c>
      <c r="L36" s="2">
        <v>0</v>
      </c>
      <c r="M36" s="2">
        <v>0</v>
      </c>
      <c r="N36" s="13">
        <v>-6137.34</v>
      </c>
      <c r="O36" s="2">
        <v>12466.7</v>
      </c>
      <c r="P36" s="2">
        <v>3000</v>
      </c>
    </row>
    <row r="37" spans="1:16">
      <c r="A37" s="2" t="str">
        <f t="shared" si="12"/>
        <v>20141014</v>
      </c>
      <c r="B37" s="2"/>
      <c r="C37" s="2"/>
      <c r="D37" s="2" t="str">
        <f>"融资借入"</f>
        <v>融资借入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6177.39</v>
      </c>
      <c r="O37" s="2">
        <v>18644.09</v>
      </c>
      <c r="P37" s="2">
        <v>0</v>
      </c>
    </row>
    <row r="38" spans="1:16">
      <c r="A38" s="2" t="str">
        <f t="shared" si="12"/>
        <v>20141014</v>
      </c>
      <c r="B38" s="2"/>
      <c r="C38" s="2"/>
      <c r="D38" s="2" t="str">
        <f>"融资借入"</f>
        <v>融资借入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6137.34</v>
      </c>
      <c r="O38" s="2">
        <v>24781.43</v>
      </c>
      <c r="P38" s="2">
        <v>0</v>
      </c>
    </row>
    <row r="39" spans="1:16">
      <c r="A39" s="2" t="str">
        <f t="shared" si="12"/>
        <v>20141014</v>
      </c>
      <c r="B39" s="2"/>
      <c r="C39" s="2"/>
      <c r="D39" s="2" t="str">
        <f t="shared" ref="D39:D44" si="15">"偿还融资利息"</f>
        <v>偿还融资利息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-10.47</v>
      </c>
      <c r="O39" s="2">
        <v>24770.96</v>
      </c>
      <c r="P39" s="2">
        <v>0</v>
      </c>
    </row>
    <row r="40" spans="1:16">
      <c r="A40" s="2" t="str">
        <f t="shared" si="12"/>
        <v>20141014</v>
      </c>
      <c r="B40" s="2"/>
      <c r="C40" s="2"/>
      <c r="D40" s="2" t="str">
        <f t="shared" ref="D40:D43" si="16">"偿还融资负债本金"</f>
        <v>偿还融资负债本金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12">
        <v>-10946.61</v>
      </c>
      <c r="O40" s="2">
        <v>13824.35</v>
      </c>
      <c r="P40" s="2">
        <v>0</v>
      </c>
    </row>
    <row r="41" spans="1:16">
      <c r="A41" s="2" t="str">
        <f t="shared" si="12"/>
        <v>20141014</v>
      </c>
      <c r="B41" s="2"/>
      <c r="C41" s="2"/>
      <c r="D41" s="2" t="str">
        <f t="shared" si="15"/>
        <v>偿还融资利息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-11.97</v>
      </c>
      <c r="O41" s="2">
        <v>13812.38</v>
      </c>
      <c r="P41" s="2">
        <v>0</v>
      </c>
    </row>
    <row r="42" spans="1:16">
      <c r="A42" s="2" t="str">
        <f t="shared" si="12"/>
        <v>20141014</v>
      </c>
      <c r="B42" s="2"/>
      <c r="C42" s="2"/>
      <c r="D42" s="2" t="str">
        <f t="shared" si="16"/>
        <v>偿还融资负债本金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12">
        <v>-7590.09</v>
      </c>
      <c r="O42" s="2">
        <v>6222.29</v>
      </c>
      <c r="P42" s="2">
        <v>0</v>
      </c>
    </row>
    <row r="43" spans="1:16">
      <c r="A43" s="2" t="str">
        <f t="shared" si="12"/>
        <v>20141014</v>
      </c>
      <c r="B43" s="2"/>
      <c r="C43" s="2"/>
      <c r="D43" s="2" t="str">
        <f t="shared" si="16"/>
        <v>偿还融资负债本金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12">
        <v>-4944.88</v>
      </c>
      <c r="O43" s="2">
        <v>1277.41</v>
      </c>
      <c r="P43" s="2">
        <v>0</v>
      </c>
    </row>
    <row r="44" spans="1:16">
      <c r="A44" s="2" t="str">
        <f t="shared" si="12"/>
        <v>20141014</v>
      </c>
      <c r="B44" s="2"/>
      <c r="C44" s="2"/>
      <c r="D44" s="2" t="str">
        <f t="shared" si="15"/>
        <v>偿还融资利息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-5.92</v>
      </c>
      <c r="O44" s="2">
        <v>1271.49</v>
      </c>
      <c r="P44" s="2">
        <v>0</v>
      </c>
    </row>
    <row r="45" spans="1:16">
      <c r="A45" s="2" t="str">
        <f t="shared" si="12"/>
        <v>20141014</v>
      </c>
      <c r="B45" s="2"/>
      <c r="C45" s="2"/>
      <c r="D45" s="2" t="str">
        <f>"偿还融资负债本金"</f>
        <v>偿还融资负债本金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-1235.58</v>
      </c>
      <c r="O45" s="2">
        <v>35.91</v>
      </c>
      <c r="P45" s="2">
        <v>0</v>
      </c>
    </row>
    <row r="46" spans="1:16">
      <c r="A46" s="2" t="str">
        <f>"20141015"</f>
        <v>20141015</v>
      </c>
      <c r="B46" s="2" t="str">
        <f t="shared" ref="B46:B51" si="17">"600467"</f>
        <v>600467</v>
      </c>
      <c r="C46" s="2" t="str">
        <f t="shared" ref="C46:C51" si="18">"好当家"</f>
        <v>好当家</v>
      </c>
      <c r="D46" s="2" t="str">
        <f t="shared" ref="D46:D51" si="19">"融资买入"</f>
        <v>融资买入</v>
      </c>
      <c r="E46" s="2">
        <v>6.1</v>
      </c>
      <c r="F46" s="2">
        <v>2000</v>
      </c>
      <c r="G46" s="2">
        <v>12200</v>
      </c>
      <c r="H46" s="2">
        <v>13.42</v>
      </c>
      <c r="I46" s="2">
        <v>12.33</v>
      </c>
      <c r="J46" s="2">
        <v>0</v>
      </c>
      <c r="K46" s="2">
        <v>1.2</v>
      </c>
      <c r="L46" s="2">
        <v>0</v>
      </c>
      <c r="M46" s="2">
        <v>0</v>
      </c>
      <c r="N46" s="2">
        <v>-12214.62</v>
      </c>
      <c r="O46" s="2">
        <v>-12178.71</v>
      </c>
      <c r="P46" s="2">
        <v>5000</v>
      </c>
    </row>
    <row r="47" spans="1:16">
      <c r="A47" s="2" t="str">
        <f>"20141015"</f>
        <v>20141015</v>
      </c>
      <c r="B47" s="2"/>
      <c r="C47" s="2"/>
      <c r="D47" s="2" t="str">
        <f>"融资借入"</f>
        <v>融资借入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12214.62</v>
      </c>
      <c r="O47" s="2">
        <v>35.91</v>
      </c>
      <c r="P47" s="2">
        <v>0</v>
      </c>
    </row>
    <row r="48" spans="1:16">
      <c r="A48" s="2" t="str">
        <f>"20141016"</f>
        <v>20141016</v>
      </c>
      <c r="B48" s="2" t="str">
        <f>"150181"</f>
        <v>150181</v>
      </c>
      <c r="C48" s="2" t="str">
        <f>"军工A"</f>
        <v>军工A</v>
      </c>
      <c r="D48" s="2" t="str">
        <f>"担保物转入"</f>
        <v>担保物转入</v>
      </c>
      <c r="E48" s="2">
        <v>0.879</v>
      </c>
      <c r="F48" s="2">
        <v>354</v>
      </c>
      <c r="G48" s="2">
        <v>311.17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35.91</v>
      </c>
      <c r="P48" s="2">
        <v>23454</v>
      </c>
    </row>
    <row r="49" spans="1:16">
      <c r="A49" s="2" t="str">
        <f t="shared" ref="A49:A61" si="20">"20141017"</f>
        <v>20141017</v>
      </c>
      <c r="B49" s="2" t="str">
        <f t="shared" si="17"/>
        <v>600467</v>
      </c>
      <c r="C49" s="2" t="str">
        <f t="shared" si="18"/>
        <v>好当家</v>
      </c>
      <c r="D49" s="2" t="str">
        <f>"卖券还款"</f>
        <v>卖券还款</v>
      </c>
      <c r="E49" s="2">
        <v>6.05</v>
      </c>
      <c r="F49" s="2">
        <v>4000</v>
      </c>
      <c r="G49" s="2">
        <v>24200</v>
      </c>
      <c r="H49" s="2">
        <v>26.62</v>
      </c>
      <c r="I49" s="2">
        <v>24.46</v>
      </c>
      <c r="J49" s="2">
        <v>24.2</v>
      </c>
      <c r="K49" s="2">
        <v>2.4</v>
      </c>
      <c r="L49" s="2">
        <v>0</v>
      </c>
      <c r="M49" s="2">
        <v>0</v>
      </c>
      <c r="N49" s="2">
        <v>24146.78</v>
      </c>
      <c r="O49" s="2">
        <v>24182.69</v>
      </c>
      <c r="P49" s="2">
        <v>1000</v>
      </c>
    </row>
    <row r="50" spans="1:16">
      <c r="A50" s="2" t="str">
        <f t="shared" si="20"/>
        <v>20141017</v>
      </c>
      <c r="B50" s="2" t="str">
        <f>"600664"</f>
        <v>600664</v>
      </c>
      <c r="C50" s="2" t="str">
        <f>"哈药股份"</f>
        <v>哈药股份</v>
      </c>
      <c r="D50" s="2" t="str">
        <f t="shared" si="19"/>
        <v>融资买入</v>
      </c>
      <c r="E50" s="2">
        <v>7.7</v>
      </c>
      <c r="F50" s="2">
        <v>1000</v>
      </c>
      <c r="G50" s="2">
        <v>7700</v>
      </c>
      <c r="H50" s="2">
        <v>8.47</v>
      </c>
      <c r="I50" s="2">
        <v>7.78</v>
      </c>
      <c r="J50" s="2">
        <v>0</v>
      </c>
      <c r="K50" s="2">
        <v>0.6</v>
      </c>
      <c r="L50" s="2">
        <v>0</v>
      </c>
      <c r="M50" s="2">
        <v>0</v>
      </c>
      <c r="N50" s="2">
        <v>-7709.07</v>
      </c>
      <c r="O50" s="2">
        <v>16473.62</v>
      </c>
      <c r="P50" s="2">
        <v>1000</v>
      </c>
    </row>
    <row r="51" spans="1:16">
      <c r="A51" s="2" t="str">
        <f t="shared" si="20"/>
        <v>20141017</v>
      </c>
      <c r="B51" s="2" t="str">
        <f t="shared" si="17"/>
        <v>600467</v>
      </c>
      <c r="C51" s="2" t="str">
        <f t="shared" si="18"/>
        <v>好当家</v>
      </c>
      <c r="D51" s="2" t="str">
        <f t="shared" si="19"/>
        <v>融资买入</v>
      </c>
      <c r="E51" s="2">
        <v>5.98</v>
      </c>
      <c r="F51" s="2">
        <v>2000</v>
      </c>
      <c r="G51" s="2">
        <v>11960</v>
      </c>
      <c r="H51" s="2">
        <v>13.16</v>
      </c>
      <c r="I51" s="2">
        <v>12.09</v>
      </c>
      <c r="J51" s="2">
        <v>0</v>
      </c>
      <c r="K51" s="2">
        <v>1.2</v>
      </c>
      <c r="L51" s="2">
        <v>0</v>
      </c>
      <c r="M51" s="2">
        <v>0</v>
      </c>
      <c r="N51" s="2">
        <v>-11974.36</v>
      </c>
      <c r="O51" s="2">
        <v>4499.26</v>
      </c>
      <c r="P51" s="2">
        <v>3000</v>
      </c>
    </row>
    <row r="52" spans="1:16">
      <c r="A52" s="2" t="str">
        <f t="shared" si="20"/>
        <v>20141017</v>
      </c>
      <c r="B52" s="2"/>
      <c r="C52" s="2"/>
      <c r="D52" s="2" t="str">
        <f>"融资借入"</f>
        <v>融资借入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11974.36</v>
      </c>
      <c r="O52" s="2">
        <v>16473.62</v>
      </c>
      <c r="P52" s="2">
        <v>0</v>
      </c>
    </row>
    <row r="53" spans="1:16">
      <c r="A53" s="2" t="str">
        <f t="shared" si="20"/>
        <v>20141017</v>
      </c>
      <c r="B53" s="2"/>
      <c r="C53" s="2"/>
      <c r="D53" s="2" t="str">
        <f>"融资借入"</f>
        <v>融资借入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7709.07</v>
      </c>
      <c r="O53" s="2">
        <v>24182.69</v>
      </c>
      <c r="P53" s="2">
        <v>0</v>
      </c>
    </row>
    <row r="54" spans="1:16">
      <c r="A54" s="2" t="str">
        <f t="shared" si="20"/>
        <v>20141017</v>
      </c>
      <c r="B54" s="2"/>
      <c r="C54" s="2"/>
      <c r="D54" s="2" t="str">
        <f t="shared" ref="D54:D58" si="21">"偿还融资利息"</f>
        <v>偿还融资利息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-3.57</v>
      </c>
      <c r="O54" s="2">
        <v>24179.12</v>
      </c>
      <c r="P54" s="2">
        <v>0</v>
      </c>
    </row>
    <row r="55" spans="1:16">
      <c r="A55" s="2" t="str">
        <f t="shared" si="20"/>
        <v>20141017</v>
      </c>
      <c r="B55" s="2"/>
      <c r="C55" s="2"/>
      <c r="D55" s="2" t="str">
        <f t="shared" ref="D55:D59" si="22">"偿还融资负债本金"</f>
        <v>偿还融资负债本金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-4961.83</v>
      </c>
      <c r="O55" s="2">
        <v>19217.29</v>
      </c>
      <c r="P55" s="2">
        <v>0</v>
      </c>
    </row>
    <row r="56" spans="1:16">
      <c r="A56" s="2" t="str">
        <f t="shared" si="20"/>
        <v>20141017</v>
      </c>
      <c r="B56" s="2"/>
      <c r="C56" s="2"/>
      <c r="D56" s="2" t="str">
        <f t="shared" si="21"/>
        <v>偿还融资利息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-4.44</v>
      </c>
      <c r="O56" s="2">
        <v>19212.85</v>
      </c>
      <c r="P56" s="2">
        <v>0</v>
      </c>
    </row>
    <row r="57" spans="1:16">
      <c r="A57" s="2" t="str">
        <f t="shared" si="20"/>
        <v>20141017</v>
      </c>
      <c r="B57" s="2"/>
      <c r="C57" s="2"/>
      <c r="D57" s="2" t="str">
        <f t="shared" si="22"/>
        <v>偿还融资负债本金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-6177.39</v>
      </c>
      <c r="O57" s="2">
        <v>13035.46</v>
      </c>
      <c r="P57" s="2">
        <v>0</v>
      </c>
    </row>
    <row r="58" spans="1:16">
      <c r="A58" s="2" t="str">
        <f t="shared" si="20"/>
        <v>20141017</v>
      </c>
      <c r="B58" s="2"/>
      <c r="C58" s="2"/>
      <c r="D58" s="2" t="str">
        <f t="shared" si="21"/>
        <v>偿还融资利息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-4.41</v>
      </c>
      <c r="O58" s="2">
        <v>13031.05</v>
      </c>
      <c r="P58" s="2">
        <v>0</v>
      </c>
    </row>
    <row r="59" spans="1:16">
      <c r="A59" s="2" t="str">
        <f t="shared" si="20"/>
        <v>20141017</v>
      </c>
      <c r="B59" s="2"/>
      <c r="C59" s="2"/>
      <c r="D59" s="2" t="str">
        <f t="shared" si="22"/>
        <v>偿还融资负债本金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-6137.34</v>
      </c>
      <c r="O59" s="2">
        <v>6893.71</v>
      </c>
      <c r="P59" s="2">
        <v>0</v>
      </c>
    </row>
    <row r="60" spans="1:16">
      <c r="A60" s="2" t="str">
        <f t="shared" si="20"/>
        <v>20141017</v>
      </c>
      <c r="B60" s="2"/>
      <c r="C60" s="2"/>
      <c r="D60" s="2" t="str">
        <f>"偿还融资利息"</f>
        <v>偿还融资利息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-5.84</v>
      </c>
      <c r="O60" s="2">
        <v>6887.87</v>
      </c>
      <c r="P60" s="2">
        <v>0</v>
      </c>
    </row>
    <row r="61" spans="1:16">
      <c r="A61" s="2" t="str">
        <f t="shared" si="20"/>
        <v>20141017</v>
      </c>
      <c r="B61" s="2"/>
      <c r="C61" s="2"/>
      <c r="D61" s="2" t="str">
        <f>"偿还融资负债本金"</f>
        <v>偿还融资负债本金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-6851.96</v>
      </c>
      <c r="O61" s="2">
        <v>35.91</v>
      </c>
      <c r="P61" s="2">
        <v>0</v>
      </c>
    </row>
    <row r="62" spans="1:16">
      <c r="A62" s="2" t="str">
        <f t="shared" ref="A62:A72" si="23">"20141020"</f>
        <v>20141020</v>
      </c>
      <c r="B62" s="2" t="str">
        <f>"600467"</f>
        <v>600467</v>
      </c>
      <c r="C62" s="2" t="str">
        <f>"好当家"</f>
        <v>好当家</v>
      </c>
      <c r="D62" s="2" t="str">
        <f>"融资买入"</f>
        <v>融资买入</v>
      </c>
      <c r="E62" s="2">
        <v>6.08</v>
      </c>
      <c r="F62" s="2">
        <v>3000</v>
      </c>
      <c r="G62" s="2">
        <v>18240</v>
      </c>
      <c r="H62" s="2">
        <v>20.06</v>
      </c>
      <c r="I62" s="2">
        <v>18.43</v>
      </c>
      <c r="J62" s="2">
        <v>0</v>
      </c>
      <c r="K62" s="2">
        <v>1.8</v>
      </c>
      <c r="L62" s="2">
        <v>0</v>
      </c>
      <c r="M62" s="2">
        <v>0</v>
      </c>
      <c r="N62" s="2">
        <v>-18261.86</v>
      </c>
      <c r="O62" s="2">
        <v>-18225.95</v>
      </c>
      <c r="P62" s="2">
        <v>6000</v>
      </c>
    </row>
    <row r="63" spans="1:16">
      <c r="A63" s="2" t="str">
        <f t="shared" si="23"/>
        <v>20141020</v>
      </c>
      <c r="B63" s="2" t="str">
        <f>"600664"</f>
        <v>600664</v>
      </c>
      <c r="C63" s="2" t="str">
        <f>"哈药股份"</f>
        <v>哈药股份</v>
      </c>
      <c r="D63" s="2" t="str">
        <f>"卖券还款"</f>
        <v>卖券还款</v>
      </c>
      <c r="E63" s="2">
        <v>7.77</v>
      </c>
      <c r="F63" s="2">
        <v>1000</v>
      </c>
      <c r="G63" s="2">
        <v>7770</v>
      </c>
      <c r="H63" s="2">
        <v>8.55</v>
      </c>
      <c r="I63" s="2">
        <v>7.85</v>
      </c>
      <c r="J63" s="2">
        <v>7.77</v>
      </c>
      <c r="K63" s="2">
        <v>0.6</v>
      </c>
      <c r="L63" s="2">
        <v>0</v>
      </c>
      <c r="M63" s="2">
        <v>0</v>
      </c>
      <c r="N63" s="2">
        <v>7753.08</v>
      </c>
      <c r="O63" s="2">
        <v>-10472.87</v>
      </c>
      <c r="P63" s="2">
        <v>0</v>
      </c>
    </row>
    <row r="64" spans="1:16">
      <c r="A64" s="2" t="str">
        <f t="shared" si="23"/>
        <v>20141020</v>
      </c>
      <c r="B64" s="2" t="str">
        <f>"600467"</f>
        <v>600467</v>
      </c>
      <c r="C64" s="2" t="str">
        <f>"好当家"</f>
        <v>好当家</v>
      </c>
      <c r="D64" s="2" t="str">
        <f>"卖券还款"</f>
        <v>卖券还款</v>
      </c>
      <c r="E64" s="2">
        <v>6.07</v>
      </c>
      <c r="F64" s="2">
        <v>1000</v>
      </c>
      <c r="G64" s="2">
        <v>6070</v>
      </c>
      <c r="H64" s="2">
        <v>6.68</v>
      </c>
      <c r="I64" s="2">
        <v>6.14</v>
      </c>
      <c r="J64" s="2">
        <v>6.07</v>
      </c>
      <c r="K64" s="2">
        <v>0.6</v>
      </c>
      <c r="L64" s="2">
        <v>0</v>
      </c>
      <c r="M64" s="2">
        <v>0</v>
      </c>
      <c r="N64" s="2">
        <v>6056.65</v>
      </c>
      <c r="O64" s="2">
        <v>-4416.22</v>
      </c>
      <c r="P64" s="2">
        <v>5000</v>
      </c>
    </row>
    <row r="65" spans="1:16">
      <c r="A65" s="2" t="str">
        <f t="shared" si="23"/>
        <v>20141020</v>
      </c>
      <c r="B65" s="2"/>
      <c r="C65" s="2"/>
      <c r="D65" s="2" t="str">
        <f>"融资借入"</f>
        <v>融资借入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18261.86</v>
      </c>
      <c r="O65" s="2">
        <v>13845.64</v>
      </c>
      <c r="P65" s="2">
        <v>0</v>
      </c>
    </row>
    <row r="66" spans="1:16">
      <c r="A66" s="2" t="str">
        <f t="shared" si="23"/>
        <v>20141020</v>
      </c>
      <c r="B66" s="2"/>
      <c r="C66" s="2"/>
      <c r="D66" s="2" t="str">
        <f t="shared" ref="D66:D71" si="24">"偿还融资利息"</f>
        <v>偿还融资利息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-3.84</v>
      </c>
      <c r="O66" s="2">
        <v>13841.8</v>
      </c>
      <c r="P66" s="2">
        <v>0</v>
      </c>
    </row>
    <row r="67" spans="1:16">
      <c r="A67" s="2" t="str">
        <f t="shared" si="23"/>
        <v>20141020</v>
      </c>
      <c r="B67" s="2"/>
      <c r="C67" s="2"/>
      <c r="D67" s="2" t="str">
        <f t="shared" ref="D67:D70" si="25">"偿还融资负债本金"</f>
        <v>偿还融资负债本金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-5362.66</v>
      </c>
      <c r="O67" s="2">
        <v>8479.14</v>
      </c>
      <c r="P67" s="2">
        <v>0</v>
      </c>
    </row>
    <row r="68" spans="1:16">
      <c r="A68" s="2" t="str">
        <f t="shared" si="23"/>
        <v>20141020</v>
      </c>
      <c r="B68" s="2"/>
      <c r="C68" s="2"/>
      <c r="D68" s="2" t="str">
        <f t="shared" si="24"/>
        <v>偿还融资利息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-5.52</v>
      </c>
      <c r="O68" s="2">
        <v>8473.62</v>
      </c>
      <c r="P68" s="2">
        <v>0</v>
      </c>
    </row>
    <row r="69" spans="1:16">
      <c r="A69" s="2" t="str">
        <f t="shared" si="23"/>
        <v>20141020</v>
      </c>
      <c r="B69" s="2"/>
      <c r="C69" s="2"/>
      <c r="D69" s="2" t="str">
        <f t="shared" si="25"/>
        <v>偿还融资负债本金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-2381.06</v>
      </c>
      <c r="O69" s="2">
        <v>6092.56</v>
      </c>
      <c r="P69" s="2">
        <v>0</v>
      </c>
    </row>
    <row r="70" spans="1:16">
      <c r="A70" s="2" t="str">
        <f t="shared" si="23"/>
        <v>20141020</v>
      </c>
      <c r="B70" s="2"/>
      <c r="C70" s="2"/>
      <c r="D70" s="2" t="str">
        <f t="shared" si="25"/>
        <v>偿还融资负债本金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-5328.01</v>
      </c>
      <c r="O70" s="2">
        <v>764.55</v>
      </c>
      <c r="P70" s="2">
        <v>0</v>
      </c>
    </row>
    <row r="71" spans="1:16">
      <c r="A71" s="2" t="str">
        <f t="shared" si="23"/>
        <v>20141020</v>
      </c>
      <c r="B71" s="2"/>
      <c r="C71" s="2"/>
      <c r="D71" s="2" t="str">
        <f t="shared" si="24"/>
        <v>偿还融资利息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-8.58</v>
      </c>
      <c r="O71" s="2">
        <v>755.97</v>
      </c>
      <c r="P71" s="2">
        <v>0</v>
      </c>
    </row>
    <row r="72" spans="1:16">
      <c r="A72" s="2" t="str">
        <f t="shared" si="23"/>
        <v>20141020</v>
      </c>
      <c r="B72" s="2"/>
      <c r="C72" s="2"/>
      <c r="D72" s="2" t="str">
        <f t="shared" ref="D72:D76" si="26">"偿还融资负债本金"</f>
        <v>偿还融资负债本金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-720.06</v>
      </c>
      <c r="O72" s="2">
        <v>35.91</v>
      </c>
      <c r="P72" s="2">
        <v>0</v>
      </c>
    </row>
    <row r="73" spans="1:16">
      <c r="A73" s="2" t="str">
        <f t="shared" ref="A73:A77" si="27">"20141021"</f>
        <v>20141021</v>
      </c>
      <c r="B73" s="2" t="str">
        <f>"600467"</f>
        <v>600467</v>
      </c>
      <c r="C73" s="2" t="str">
        <f>"好当家"</f>
        <v>好当家</v>
      </c>
      <c r="D73" s="2" t="str">
        <f>"担保品卖出"</f>
        <v>担保品卖出</v>
      </c>
      <c r="E73" s="2">
        <v>6.06</v>
      </c>
      <c r="F73" s="2">
        <v>3000</v>
      </c>
      <c r="G73" s="2">
        <v>18180</v>
      </c>
      <c r="H73" s="2">
        <v>9.09</v>
      </c>
      <c r="I73" s="2">
        <v>7.46</v>
      </c>
      <c r="J73" s="2">
        <v>18.18</v>
      </c>
      <c r="K73" s="2">
        <v>1.8</v>
      </c>
      <c r="L73" s="2">
        <v>0</v>
      </c>
      <c r="M73" s="2">
        <v>0</v>
      </c>
      <c r="N73" s="2">
        <v>18150.93</v>
      </c>
      <c r="O73" s="2">
        <v>18186.84</v>
      </c>
      <c r="P73" s="2">
        <v>2000</v>
      </c>
    </row>
    <row r="74" spans="1:16">
      <c r="A74" s="2" t="str">
        <f t="shared" si="27"/>
        <v>20141021</v>
      </c>
      <c r="B74" s="2"/>
      <c r="C74" s="2"/>
      <c r="D74" s="2" t="str">
        <f t="shared" si="26"/>
        <v>偿还融资负债本金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-11254.3</v>
      </c>
      <c r="O74" s="2">
        <v>6932.54</v>
      </c>
      <c r="P74" s="2">
        <v>0</v>
      </c>
    </row>
    <row r="75" spans="1:16">
      <c r="A75" s="2" t="str">
        <f t="shared" si="27"/>
        <v>20141021</v>
      </c>
      <c r="B75" s="2"/>
      <c r="C75" s="2"/>
      <c r="D75" s="2" t="str">
        <f>"偿还融资利息"</f>
        <v>偿还融资利息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-2.69</v>
      </c>
      <c r="O75" s="2">
        <v>6929.85</v>
      </c>
      <c r="P75" s="2">
        <v>0</v>
      </c>
    </row>
    <row r="76" spans="1:16">
      <c r="A76" s="2" t="str">
        <f t="shared" si="27"/>
        <v>20141021</v>
      </c>
      <c r="B76" s="2"/>
      <c r="C76" s="2"/>
      <c r="D76" s="2" t="str">
        <f t="shared" si="26"/>
        <v>偿还融资负债本金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-6844.13</v>
      </c>
      <c r="O76" s="2">
        <v>85.72</v>
      </c>
      <c r="P76" s="2">
        <v>0</v>
      </c>
    </row>
    <row r="77" spans="1:16">
      <c r="A77" s="2" t="str">
        <f t="shared" si="27"/>
        <v>20141021</v>
      </c>
      <c r="B77" s="2"/>
      <c r="C77" s="2"/>
      <c r="D77" s="2" t="str">
        <f>"偿还融资利息"</f>
        <v>偿还融资利息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-4.36</v>
      </c>
      <c r="O77" s="2">
        <v>81.36</v>
      </c>
      <c r="P77" s="2">
        <v>0</v>
      </c>
    </row>
    <row r="78" spans="1:16">
      <c r="A78" s="2" t="str">
        <f t="shared" ref="A78:A81" si="28">"20141022"</f>
        <v>20141022</v>
      </c>
      <c r="B78" s="2" t="str">
        <f>"600664"</f>
        <v>600664</v>
      </c>
      <c r="C78" s="2" t="str">
        <f>"哈药股份"</f>
        <v>哈药股份</v>
      </c>
      <c r="D78" s="2" t="str">
        <f t="shared" ref="D78:D82" si="29">"融资买入"</f>
        <v>融资买入</v>
      </c>
      <c r="E78" s="2">
        <v>7.51</v>
      </c>
      <c r="F78" s="2">
        <v>1000</v>
      </c>
      <c r="G78" s="2">
        <v>7510</v>
      </c>
      <c r="H78" s="2">
        <v>8.26</v>
      </c>
      <c r="I78" s="2">
        <v>7.59</v>
      </c>
      <c r="J78" s="2">
        <v>0</v>
      </c>
      <c r="K78" s="2">
        <v>0.6</v>
      </c>
      <c r="L78" s="2">
        <v>0</v>
      </c>
      <c r="M78" s="2">
        <v>0</v>
      </c>
      <c r="N78" s="2">
        <v>-7518.86</v>
      </c>
      <c r="O78" s="2">
        <v>-7437.5</v>
      </c>
      <c r="P78" s="2">
        <v>1000</v>
      </c>
    </row>
    <row r="79" spans="1:16">
      <c r="A79" s="2" t="str">
        <f t="shared" si="28"/>
        <v>20141022</v>
      </c>
      <c r="B79" s="2" t="str">
        <f t="shared" ref="B79:B84" si="30">"600467"</f>
        <v>600467</v>
      </c>
      <c r="C79" s="2" t="str">
        <f t="shared" ref="C79:C84" si="31">"好当家"</f>
        <v>好当家</v>
      </c>
      <c r="D79" s="2" t="str">
        <f t="shared" si="29"/>
        <v>融资买入</v>
      </c>
      <c r="E79" s="2">
        <v>5.94</v>
      </c>
      <c r="F79" s="2">
        <v>1000</v>
      </c>
      <c r="G79" s="2">
        <v>5940</v>
      </c>
      <c r="H79" s="2">
        <v>6.53</v>
      </c>
      <c r="I79" s="2">
        <v>5.99</v>
      </c>
      <c r="J79" s="2">
        <v>0</v>
      </c>
      <c r="K79" s="2">
        <v>0.6</v>
      </c>
      <c r="L79" s="2">
        <v>0</v>
      </c>
      <c r="M79" s="2">
        <v>0</v>
      </c>
      <c r="N79" s="2">
        <v>-5947.13</v>
      </c>
      <c r="O79" s="2">
        <v>-13384.63</v>
      </c>
      <c r="P79" s="2">
        <v>3000</v>
      </c>
    </row>
    <row r="80" spans="1:16">
      <c r="A80" s="2" t="str">
        <f t="shared" si="28"/>
        <v>20141022</v>
      </c>
      <c r="B80" s="2"/>
      <c r="C80" s="2"/>
      <c r="D80" s="2" t="str">
        <f t="shared" ref="D80:D86" si="32">"融资借入"</f>
        <v>融资借入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5947.13</v>
      </c>
      <c r="O80" s="2">
        <v>-7437.5</v>
      </c>
      <c r="P80" s="2">
        <v>0</v>
      </c>
    </row>
    <row r="81" spans="1:16">
      <c r="A81" s="2" t="str">
        <f t="shared" si="28"/>
        <v>20141022</v>
      </c>
      <c r="B81" s="2"/>
      <c r="C81" s="2"/>
      <c r="D81" s="2" t="str">
        <f t="shared" si="32"/>
        <v>融资借入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7518.86</v>
      </c>
      <c r="O81" s="2">
        <v>81.36</v>
      </c>
      <c r="P81" s="2">
        <v>0</v>
      </c>
    </row>
    <row r="82" spans="1:16">
      <c r="A82" s="2" t="str">
        <f t="shared" ref="A82:A88" si="33">"20141023"</f>
        <v>20141023</v>
      </c>
      <c r="B82" s="2" t="str">
        <f t="shared" si="30"/>
        <v>600467</v>
      </c>
      <c r="C82" s="2" t="str">
        <f t="shared" si="31"/>
        <v>好当家</v>
      </c>
      <c r="D82" s="2" t="str">
        <f t="shared" si="29"/>
        <v>融资买入</v>
      </c>
      <c r="E82" s="2">
        <v>5.9</v>
      </c>
      <c r="F82" s="2">
        <v>2000</v>
      </c>
      <c r="G82" s="2">
        <v>11800</v>
      </c>
      <c r="H82" s="2">
        <v>12.98</v>
      </c>
      <c r="I82" s="2">
        <v>11.92</v>
      </c>
      <c r="J82" s="2">
        <v>0</v>
      </c>
      <c r="K82" s="2">
        <v>1.2</v>
      </c>
      <c r="L82" s="2">
        <v>0</v>
      </c>
      <c r="M82" s="2">
        <v>0</v>
      </c>
      <c r="N82" s="2">
        <v>-11814.18</v>
      </c>
      <c r="O82" s="2">
        <v>-11732.82</v>
      </c>
      <c r="P82" s="2">
        <v>5000</v>
      </c>
    </row>
    <row r="83" spans="1:16">
      <c r="A83" s="2" t="str">
        <f t="shared" si="33"/>
        <v>20141023</v>
      </c>
      <c r="B83" s="2" t="str">
        <f t="shared" si="30"/>
        <v>600467</v>
      </c>
      <c r="C83" s="2" t="str">
        <f t="shared" si="31"/>
        <v>好当家</v>
      </c>
      <c r="D83" s="2" t="str">
        <f>"卖券还款"</f>
        <v>卖券还款</v>
      </c>
      <c r="E83" s="2">
        <v>5.87</v>
      </c>
      <c r="F83" s="2">
        <v>1000</v>
      </c>
      <c r="G83" s="2">
        <v>5870</v>
      </c>
      <c r="H83" s="2">
        <v>6.46</v>
      </c>
      <c r="I83" s="2">
        <v>5.93</v>
      </c>
      <c r="J83" s="2">
        <v>5.87</v>
      </c>
      <c r="K83" s="2">
        <v>0.6</v>
      </c>
      <c r="L83" s="2">
        <v>0</v>
      </c>
      <c r="M83" s="2">
        <v>0</v>
      </c>
      <c r="N83" s="2">
        <v>5857.07</v>
      </c>
      <c r="O83" s="2">
        <v>-5875.75</v>
      </c>
      <c r="P83" s="2">
        <v>4000</v>
      </c>
    </row>
    <row r="84" spans="1:16">
      <c r="A84" s="2" t="str">
        <f t="shared" si="33"/>
        <v>20141023</v>
      </c>
      <c r="B84" s="2" t="str">
        <f t="shared" si="30"/>
        <v>600467</v>
      </c>
      <c r="C84" s="2" t="str">
        <f t="shared" si="31"/>
        <v>好当家</v>
      </c>
      <c r="D84" s="2" t="str">
        <f>"融资买入"</f>
        <v>融资买入</v>
      </c>
      <c r="E84" s="2">
        <v>5.82</v>
      </c>
      <c r="F84" s="2">
        <v>1000</v>
      </c>
      <c r="G84" s="2">
        <v>5820</v>
      </c>
      <c r="H84" s="2">
        <v>6.4</v>
      </c>
      <c r="I84" s="2">
        <v>5.87</v>
      </c>
      <c r="J84" s="2">
        <v>0</v>
      </c>
      <c r="K84" s="2">
        <v>0.6</v>
      </c>
      <c r="L84" s="2">
        <v>0</v>
      </c>
      <c r="M84" s="2">
        <v>0</v>
      </c>
      <c r="N84" s="2">
        <v>-5827</v>
      </c>
      <c r="O84" s="2">
        <v>-11702.75</v>
      </c>
      <c r="P84" s="2">
        <v>5000</v>
      </c>
    </row>
    <row r="85" spans="1:16">
      <c r="A85" s="2" t="str">
        <f t="shared" si="33"/>
        <v>20141023</v>
      </c>
      <c r="B85" s="2"/>
      <c r="C85" s="2"/>
      <c r="D85" s="2" t="str">
        <f t="shared" si="32"/>
        <v>融资借入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11814.18</v>
      </c>
      <c r="O85" s="2">
        <v>111.43</v>
      </c>
      <c r="P85" s="2">
        <v>0</v>
      </c>
    </row>
    <row r="86" spans="1:16">
      <c r="A86" s="2" t="str">
        <f t="shared" si="33"/>
        <v>20141023</v>
      </c>
      <c r="B86" s="2"/>
      <c r="C86" s="2"/>
      <c r="D86" s="2" t="str">
        <f t="shared" si="32"/>
        <v>融资借入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5827</v>
      </c>
      <c r="O86" s="2">
        <v>5938.43</v>
      </c>
      <c r="P86" s="2">
        <v>0</v>
      </c>
    </row>
    <row r="87" spans="1:16">
      <c r="A87" s="2" t="str">
        <f t="shared" si="33"/>
        <v>20141023</v>
      </c>
      <c r="B87" s="2"/>
      <c r="C87" s="2"/>
      <c r="D87" s="2" t="str">
        <f t="shared" ref="D87:D92" si="34">"偿还融资利息"</f>
        <v>偿还融资利息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-5.46</v>
      </c>
      <c r="O87" s="2">
        <v>5932.97</v>
      </c>
      <c r="P87" s="2">
        <v>0</v>
      </c>
    </row>
    <row r="88" spans="1:16">
      <c r="A88" s="2" t="str">
        <f t="shared" si="33"/>
        <v>20141023</v>
      </c>
      <c r="B88" s="2"/>
      <c r="C88" s="2"/>
      <c r="D88" s="2" t="str">
        <f t="shared" ref="D88:D93" si="35">"偿还融资负债本金"</f>
        <v>偿还融资负债本金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-5851.61</v>
      </c>
      <c r="O88" s="2">
        <v>81.36</v>
      </c>
      <c r="P88" s="2">
        <v>0</v>
      </c>
    </row>
    <row r="89" spans="1:16">
      <c r="A89" s="2" t="str">
        <f t="shared" ref="A89:A93" si="36">"20141030"</f>
        <v>20141030</v>
      </c>
      <c r="B89" s="2" t="str">
        <f>"600664"</f>
        <v>600664</v>
      </c>
      <c r="C89" s="2" t="str">
        <f>"哈药股份"</f>
        <v>哈药股份</v>
      </c>
      <c r="D89" s="2" t="str">
        <f>"卖券还款"</f>
        <v>卖券还款</v>
      </c>
      <c r="E89" s="2">
        <v>7.7</v>
      </c>
      <c r="F89" s="2">
        <v>1000</v>
      </c>
      <c r="G89" s="2">
        <v>7700</v>
      </c>
      <c r="H89" s="2">
        <v>8.47</v>
      </c>
      <c r="I89" s="2">
        <v>7.78</v>
      </c>
      <c r="J89" s="2">
        <v>7.7</v>
      </c>
      <c r="K89" s="2">
        <v>0.6</v>
      </c>
      <c r="L89" s="2">
        <v>0</v>
      </c>
      <c r="M89" s="2">
        <v>0</v>
      </c>
      <c r="N89" s="2">
        <v>7683.23</v>
      </c>
      <c r="O89" s="2">
        <v>7764.59</v>
      </c>
      <c r="P89" s="2">
        <v>0</v>
      </c>
    </row>
    <row r="90" spans="1:16">
      <c r="A90" s="2" t="str">
        <f t="shared" si="36"/>
        <v>20141030</v>
      </c>
      <c r="B90" s="2"/>
      <c r="C90" s="2"/>
      <c r="D90" s="2" t="str">
        <f t="shared" si="34"/>
        <v>偿还融资利息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-9.31</v>
      </c>
      <c r="O90" s="2">
        <v>7755.28</v>
      </c>
      <c r="P90" s="2">
        <v>0</v>
      </c>
    </row>
    <row r="91" spans="1:16">
      <c r="A91" s="2" t="str">
        <f t="shared" si="36"/>
        <v>20141030</v>
      </c>
      <c r="B91" s="2"/>
      <c r="C91" s="2"/>
      <c r="D91" s="2" t="str">
        <f t="shared" si="35"/>
        <v>偿还融资负债本金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-5566.12</v>
      </c>
      <c r="O91" s="2">
        <v>2189.16</v>
      </c>
      <c r="P91" s="2">
        <v>0</v>
      </c>
    </row>
    <row r="92" spans="1:16">
      <c r="A92" s="2" t="str">
        <f t="shared" si="36"/>
        <v>20141030</v>
      </c>
      <c r="B92" s="2"/>
      <c r="C92" s="2"/>
      <c r="D92" s="2" t="str">
        <f t="shared" si="34"/>
        <v>偿还融资利息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-14.39</v>
      </c>
      <c r="O92" s="2">
        <v>2174.77</v>
      </c>
      <c r="P92" s="2">
        <v>0</v>
      </c>
    </row>
    <row r="93" spans="1:16">
      <c r="A93" s="2" t="str">
        <f t="shared" si="36"/>
        <v>20141030</v>
      </c>
      <c r="B93" s="2"/>
      <c r="C93" s="2"/>
      <c r="D93" s="2" t="str">
        <f t="shared" si="35"/>
        <v>偿还融资负债本金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-2093.41</v>
      </c>
      <c r="O93" s="2">
        <v>81.36</v>
      </c>
      <c r="P93" s="2">
        <v>0</v>
      </c>
    </row>
    <row r="94" spans="1:16">
      <c r="A94" s="2" t="str">
        <f t="shared" ref="A94:A100" si="37">"20141105"</f>
        <v>20141105</v>
      </c>
      <c r="B94" s="2" t="str">
        <f>"601607"</f>
        <v>601607</v>
      </c>
      <c r="C94" s="2" t="str">
        <f>"上海医药"</f>
        <v>上海医药</v>
      </c>
      <c r="D94" s="2" t="str">
        <f>"担保品卖出"</f>
        <v>担保品卖出</v>
      </c>
      <c r="E94" s="2">
        <v>14.41</v>
      </c>
      <c r="F94" s="2">
        <v>1000</v>
      </c>
      <c r="G94" s="2">
        <v>14410</v>
      </c>
      <c r="H94" s="2">
        <v>7.21</v>
      </c>
      <c r="I94" s="2">
        <v>5.92</v>
      </c>
      <c r="J94" s="2">
        <v>14.41</v>
      </c>
      <c r="K94" s="2">
        <v>0.6</v>
      </c>
      <c r="L94" s="2">
        <v>0</v>
      </c>
      <c r="M94" s="2">
        <v>0</v>
      </c>
      <c r="N94" s="2">
        <v>14387.78</v>
      </c>
      <c r="O94" s="2">
        <v>14469.14</v>
      </c>
      <c r="P94" s="2">
        <v>3900</v>
      </c>
    </row>
    <row r="95" spans="1:16">
      <c r="A95" s="2" t="str">
        <f t="shared" si="37"/>
        <v>20141105</v>
      </c>
      <c r="B95" s="2"/>
      <c r="C95" s="2"/>
      <c r="D95" s="2" t="str">
        <f t="shared" ref="D95:D99" si="38">"偿还融资利息"</f>
        <v>偿还融资利息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-7.79</v>
      </c>
      <c r="O95" s="2">
        <v>14461.35</v>
      </c>
      <c r="P95" s="2">
        <v>0</v>
      </c>
    </row>
    <row r="96" spans="1:16">
      <c r="A96" s="2" t="str">
        <f t="shared" si="37"/>
        <v>20141105</v>
      </c>
      <c r="B96" s="2"/>
      <c r="C96" s="2"/>
      <c r="D96" s="2" t="str">
        <f t="shared" ref="D96:D100" si="39">"偿还融资负债本金"</f>
        <v>偿还融资负债本金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-5425.45</v>
      </c>
      <c r="O96" s="2">
        <v>9035.9</v>
      </c>
      <c r="P96" s="2">
        <v>0</v>
      </c>
    </row>
    <row r="97" spans="1:16">
      <c r="A97" s="2" t="str">
        <f t="shared" si="37"/>
        <v>20141105</v>
      </c>
      <c r="B97" s="2"/>
      <c r="C97" s="2"/>
      <c r="D97" s="2" t="str">
        <f t="shared" si="38"/>
        <v>偿还融资利息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-19.88</v>
      </c>
      <c r="O97" s="2">
        <v>9016.02</v>
      </c>
      <c r="P97" s="2">
        <v>0</v>
      </c>
    </row>
    <row r="98" spans="1:16">
      <c r="A98" s="2" t="str">
        <f t="shared" si="37"/>
        <v>20141105</v>
      </c>
      <c r="B98" s="2"/>
      <c r="C98" s="2"/>
      <c r="D98" s="2" t="str">
        <f t="shared" si="39"/>
        <v>偿还融资负债本金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-5947.13</v>
      </c>
      <c r="O98" s="2">
        <v>3068.89</v>
      </c>
      <c r="P98" s="2">
        <v>0</v>
      </c>
    </row>
    <row r="99" spans="1:16">
      <c r="A99" s="2" t="str">
        <f t="shared" si="37"/>
        <v>20141105</v>
      </c>
      <c r="B99" s="2"/>
      <c r="C99" s="2"/>
      <c r="D99" s="2" t="str">
        <f t="shared" si="38"/>
        <v>偿还融资利息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-36.66</v>
      </c>
      <c r="O99" s="2">
        <v>3032.23</v>
      </c>
      <c r="P99" s="2">
        <v>0</v>
      </c>
    </row>
    <row r="100" spans="1:16">
      <c r="A100" s="2" t="str">
        <f t="shared" si="37"/>
        <v>20141105</v>
      </c>
      <c r="B100" s="2"/>
      <c r="C100" s="2"/>
      <c r="D100" s="2" t="str">
        <f t="shared" si="39"/>
        <v>偿还融资负债本金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-2963.09</v>
      </c>
      <c r="O100" s="2">
        <v>69.14</v>
      </c>
      <c r="P100" s="2">
        <v>0</v>
      </c>
    </row>
    <row r="101" spans="1:16">
      <c r="A101" s="2" t="str">
        <f t="shared" ref="A101:A106" si="40">"20141106"</f>
        <v>20141106</v>
      </c>
      <c r="B101" s="2" t="str">
        <f>"600467"</f>
        <v>600467</v>
      </c>
      <c r="C101" s="2" t="str">
        <f>"好当家"</f>
        <v>好当家</v>
      </c>
      <c r="D101" s="2" t="str">
        <f>"卖券还款"</f>
        <v>卖券还款</v>
      </c>
      <c r="E101" s="2">
        <v>5.98</v>
      </c>
      <c r="F101" s="2">
        <v>3000</v>
      </c>
      <c r="G101" s="2">
        <v>17940</v>
      </c>
      <c r="H101" s="2">
        <v>19.73</v>
      </c>
      <c r="I101" s="2">
        <v>18.12</v>
      </c>
      <c r="J101" s="2">
        <v>17.94</v>
      </c>
      <c r="K101" s="2">
        <v>1.8</v>
      </c>
      <c r="L101" s="2">
        <v>0</v>
      </c>
      <c r="M101" s="2">
        <v>0</v>
      </c>
      <c r="N101" s="2">
        <v>17900.53</v>
      </c>
      <c r="O101" s="2">
        <v>17969.67</v>
      </c>
      <c r="P101" s="2">
        <v>2000</v>
      </c>
    </row>
    <row r="102" spans="1:16">
      <c r="A102" s="2" t="str">
        <f t="shared" si="40"/>
        <v>20141106</v>
      </c>
      <c r="B102" s="2" t="str">
        <f>"601607"</f>
        <v>601607</v>
      </c>
      <c r="C102" s="2" t="str">
        <f>"上海医药"</f>
        <v>上海医药</v>
      </c>
      <c r="D102" s="2" t="str">
        <f>"担保品卖出"</f>
        <v>担保品卖出</v>
      </c>
      <c r="E102" s="2">
        <v>14.36</v>
      </c>
      <c r="F102" s="2">
        <v>900</v>
      </c>
      <c r="G102" s="2">
        <v>12924</v>
      </c>
      <c r="H102" s="2">
        <v>6.46</v>
      </c>
      <c r="I102" s="2">
        <v>5.3</v>
      </c>
      <c r="J102" s="2">
        <v>12.92</v>
      </c>
      <c r="K102" s="2">
        <v>0.54</v>
      </c>
      <c r="L102" s="2">
        <v>0</v>
      </c>
      <c r="M102" s="2">
        <v>0</v>
      </c>
      <c r="N102" s="2">
        <v>12904.08</v>
      </c>
      <c r="O102" s="2">
        <v>30873.75</v>
      </c>
      <c r="P102" s="2">
        <v>3000</v>
      </c>
    </row>
    <row r="103" spans="1:16">
      <c r="A103" s="2" t="str">
        <f t="shared" si="40"/>
        <v>20141106</v>
      </c>
      <c r="B103" s="2"/>
      <c r="C103" s="2"/>
      <c r="D103" s="2" t="str">
        <f>"偿还融资利息"</f>
        <v>偿还融资利息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-2.11</v>
      </c>
      <c r="O103" s="2">
        <v>30871.64</v>
      </c>
      <c r="P103" s="2">
        <v>0</v>
      </c>
    </row>
    <row r="104" spans="1:16">
      <c r="A104" s="2" t="str">
        <f t="shared" si="40"/>
        <v>20141106</v>
      </c>
      <c r="B104" s="2"/>
      <c r="C104" s="2"/>
      <c r="D104" s="2" t="str">
        <f>"偿还融资负债本金"</f>
        <v>偿还融资负债本金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-8851.09</v>
      </c>
      <c r="O104" s="2">
        <v>22020.55</v>
      </c>
      <c r="P104" s="2">
        <v>0</v>
      </c>
    </row>
    <row r="105" spans="1:16">
      <c r="A105" s="2" t="str">
        <f t="shared" si="40"/>
        <v>20141106</v>
      </c>
      <c r="B105" s="2"/>
      <c r="C105" s="2"/>
      <c r="D105" s="2" t="str">
        <f>"偿还融资利息"</f>
        <v>偿还融资利息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-19.46</v>
      </c>
      <c r="O105" s="2">
        <v>22001.09</v>
      </c>
      <c r="P105" s="2">
        <v>0</v>
      </c>
    </row>
    <row r="106" spans="1:16">
      <c r="A106" s="2" t="str">
        <f t="shared" si="40"/>
        <v>20141106</v>
      </c>
      <c r="B106" s="2"/>
      <c r="C106" s="2"/>
      <c r="D106" s="2" t="str">
        <f>"偿还融资负债本金"</f>
        <v>偿还融资负债本金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-5827</v>
      </c>
      <c r="O106" s="2">
        <v>16174.09</v>
      </c>
      <c r="P106" s="2">
        <v>0</v>
      </c>
    </row>
    <row r="107" spans="1:16">
      <c r="A107" s="2" t="str">
        <f>"20141107"</f>
        <v>20141107</v>
      </c>
      <c r="B107" s="2" t="str">
        <f>"000606"</f>
        <v>000606</v>
      </c>
      <c r="C107" s="2" t="str">
        <f>"青海明胶"</f>
        <v>青海明胶</v>
      </c>
      <c r="D107" s="2" t="str">
        <f t="shared" ref="D107:D110" si="41">"担保品卖出"</f>
        <v>担保品卖出</v>
      </c>
      <c r="E107" s="2">
        <v>7.12</v>
      </c>
      <c r="F107" s="2">
        <v>1500</v>
      </c>
      <c r="G107" s="2">
        <v>10680</v>
      </c>
      <c r="H107" s="2">
        <v>5.34</v>
      </c>
      <c r="I107" s="2">
        <v>4.11</v>
      </c>
      <c r="J107" s="2">
        <v>10.68</v>
      </c>
      <c r="K107" s="2">
        <v>0</v>
      </c>
      <c r="L107" s="2">
        <v>0</v>
      </c>
      <c r="M107" s="2">
        <v>0</v>
      </c>
      <c r="N107" s="2">
        <v>10663.98</v>
      </c>
      <c r="O107" s="2">
        <v>26838.07</v>
      </c>
      <c r="P107" s="2">
        <v>0</v>
      </c>
    </row>
    <row r="108" spans="1:16">
      <c r="A108" s="2" t="str">
        <f t="shared" ref="A108:A110" si="42">"20141111"</f>
        <v>20141111</v>
      </c>
      <c r="B108" s="2" t="str">
        <f>"601166"</f>
        <v>601166</v>
      </c>
      <c r="C108" s="2" t="str">
        <f>"兴业银行"</f>
        <v>兴业银行</v>
      </c>
      <c r="D108" s="2" t="str">
        <f t="shared" si="41"/>
        <v>担保品卖出</v>
      </c>
      <c r="E108" s="2">
        <v>11.07</v>
      </c>
      <c r="F108" s="2">
        <v>800</v>
      </c>
      <c r="G108" s="2">
        <v>8856</v>
      </c>
      <c r="H108" s="2">
        <v>5</v>
      </c>
      <c r="I108" s="2">
        <v>4.2</v>
      </c>
      <c r="J108" s="2">
        <v>8.86</v>
      </c>
      <c r="K108" s="2">
        <v>0.48</v>
      </c>
      <c r="L108" s="2">
        <v>0</v>
      </c>
      <c r="M108" s="2">
        <v>0</v>
      </c>
      <c r="N108" s="2">
        <v>8841.66</v>
      </c>
      <c r="O108" s="2">
        <v>35679.73</v>
      </c>
      <c r="P108" s="2">
        <v>0</v>
      </c>
    </row>
    <row r="109" spans="1:16">
      <c r="A109" s="2" t="str">
        <f t="shared" si="42"/>
        <v>20141111</v>
      </c>
      <c r="B109" s="2" t="str">
        <f>"600467"</f>
        <v>600467</v>
      </c>
      <c r="C109" s="2" t="str">
        <f>"好当家"</f>
        <v>好当家</v>
      </c>
      <c r="D109" s="2" t="str">
        <f t="shared" ref="D109:D115" si="43">"担保品买入"</f>
        <v>担保品买入</v>
      </c>
      <c r="E109" s="2">
        <v>6.04</v>
      </c>
      <c r="F109" s="2">
        <v>2000</v>
      </c>
      <c r="G109" s="2">
        <v>12080</v>
      </c>
      <c r="H109" s="2">
        <v>6.04</v>
      </c>
      <c r="I109" s="2">
        <v>4.96</v>
      </c>
      <c r="J109" s="2">
        <v>0</v>
      </c>
      <c r="K109" s="2">
        <v>1.2</v>
      </c>
      <c r="L109" s="2">
        <v>0</v>
      </c>
      <c r="M109" s="2">
        <v>0</v>
      </c>
      <c r="N109" s="2">
        <v>-12087.24</v>
      </c>
      <c r="O109" s="2">
        <v>23592.49</v>
      </c>
      <c r="P109" s="2">
        <v>4000</v>
      </c>
    </row>
    <row r="110" spans="1:16">
      <c r="A110" s="2" t="str">
        <f t="shared" si="42"/>
        <v>20141111</v>
      </c>
      <c r="B110" s="2" t="str">
        <f>"600467"</f>
        <v>600467</v>
      </c>
      <c r="C110" s="2" t="str">
        <f>"好当家"</f>
        <v>好当家</v>
      </c>
      <c r="D110" s="2" t="str">
        <f t="shared" si="41"/>
        <v>担保品卖出</v>
      </c>
      <c r="E110" s="2">
        <v>6</v>
      </c>
      <c r="F110" s="2">
        <v>2000</v>
      </c>
      <c r="G110" s="2">
        <v>12000</v>
      </c>
      <c r="H110" s="2">
        <v>6</v>
      </c>
      <c r="I110" s="2">
        <v>4.92</v>
      </c>
      <c r="J110" s="2">
        <v>12</v>
      </c>
      <c r="K110" s="2">
        <v>1.2</v>
      </c>
      <c r="L110" s="2">
        <v>0</v>
      </c>
      <c r="M110" s="2">
        <v>0</v>
      </c>
      <c r="N110" s="2">
        <v>11980.8</v>
      </c>
      <c r="O110" s="2">
        <v>35573.29</v>
      </c>
      <c r="P110" s="2">
        <v>2000</v>
      </c>
    </row>
    <row r="111" spans="1:16">
      <c r="A111" s="2" t="str">
        <f>"20141113"</f>
        <v>20141113</v>
      </c>
      <c r="B111" s="2" t="str">
        <f t="shared" ref="B111:B114" si="44">"601607"</f>
        <v>601607</v>
      </c>
      <c r="C111" s="2" t="str">
        <f t="shared" ref="C111:C114" si="45">"上海医药"</f>
        <v>上海医药</v>
      </c>
      <c r="D111" s="2" t="str">
        <f t="shared" si="43"/>
        <v>担保品买入</v>
      </c>
      <c r="E111" s="2">
        <v>14.27</v>
      </c>
      <c r="F111" s="2">
        <v>500</v>
      </c>
      <c r="G111" s="2">
        <v>7135</v>
      </c>
      <c r="H111" s="2">
        <v>5</v>
      </c>
      <c r="I111" s="2">
        <v>4.36</v>
      </c>
      <c r="J111" s="2">
        <v>0</v>
      </c>
      <c r="K111" s="2">
        <v>0.3</v>
      </c>
      <c r="L111" s="2">
        <v>0</v>
      </c>
      <c r="M111" s="2">
        <v>0</v>
      </c>
      <c r="N111" s="2">
        <v>-7140.3</v>
      </c>
      <c r="O111" s="2">
        <v>28432.99</v>
      </c>
      <c r="P111" s="2">
        <v>3500</v>
      </c>
    </row>
    <row r="112" spans="1:16">
      <c r="A112" s="2" t="str">
        <f>"20141113"</f>
        <v>20141113</v>
      </c>
      <c r="B112" s="2" t="str">
        <f t="shared" si="44"/>
        <v>601607</v>
      </c>
      <c r="C112" s="2" t="str">
        <f t="shared" si="45"/>
        <v>上海医药</v>
      </c>
      <c r="D112" s="2" t="str">
        <f>"担保品卖出"</f>
        <v>担保品卖出</v>
      </c>
      <c r="E112" s="2">
        <v>14.16</v>
      </c>
      <c r="F112" s="2">
        <v>1000</v>
      </c>
      <c r="G112" s="2">
        <v>14160</v>
      </c>
      <c r="H112" s="2">
        <v>7.08</v>
      </c>
      <c r="I112" s="2">
        <v>5.81</v>
      </c>
      <c r="J112" s="2">
        <v>14.16</v>
      </c>
      <c r="K112" s="2">
        <v>0.6</v>
      </c>
      <c r="L112" s="2">
        <v>0</v>
      </c>
      <c r="M112" s="2">
        <v>0</v>
      </c>
      <c r="N112" s="2">
        <v>14138.16</v>
      </c>
      <c r="O112" s="2">
        <v>42571.15</v>
      </c>
      <c r="P112" s="2">
        <v>2500</v>
      </c>
    </row>
    <row r="113" spans="1:16">
      <c r="A113" s="2" t="str">
        <f>"20141119"</f>
        <v>20141119</v>
      </c>
      <c r="B113" s="2" t="str">
        <f t="shared" ref="B113:B118" si="46">"511990"</f>
        <v>511990</v>
      </c>
      <c r="C113" s="2" t="str">
        <f t="shared" ref="C113:C118" si="47">"华宝添益"</f>
        <v>华宝添益</v>
      </c>
      <c r="D113" s="2" t="str">
        <f t="shared" si="43"/>
        <v>担保品买入</v>
      </c>
      <c r="E113" s="2">
        <v>99.981</v>
      </c>
      <c r="F113" s="2">
        <v>100</v>
      </c>
      <c r="G113" s="2">
        <v>9998.1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-9998.1</v>
      </c>
      <c r="O113" s="2">
        <v>32573.05</v>
      </c>
      <c r="P113" s="2">
        <v>100</v>
      </c>
    </row>
    <row r="114" spans="1:16">
      <c r="A114" s="2" t="str">
        <f>"20141120"</f>
        <v>20141120</v>
      </c>
      <c r="B114" s="2" t="str">
        <f t="shared" si="44"/>
        <v>601607</v>
      </c>
      <c r="C114" s="2" t="str">
        <f t="shared" si="45"/>
        <v>上海医药</v>
      </c>
      <c r="D114" s="2" t="str">
        <f t="shared" si="43"/>
        <v>担保品买入</v>
      </c>
      <c r="E114" s="2">
        <v>14.38</v>
      </c>
      <c r="F114" s="2">
        <v>500</v>
      </c>
      <c r="G114" s="2">
        <v>7190</v>
      </c>
      <c r="H114" s="2">
        <v>5</v>
      </c>
      <c r="I114" s="2">
        <v>4.36</v>
      </c>
      <c r="J114" s="2">
        <v>0</v>
      </c>
      <c r="K114" s="2">
        <v>0.3</v>
      </c>
      <c r="L114" s="2">
        <v>0</v>
      </c>
      <c r="M114" s="2">
        <v>0</v>
      </c>
      <c r="N114" s="2">
        <v>-7195.3</v>
      </c>
      <c r="O114" s="2">
        <v>25377.75</v>
      </c>
      <c r="P114" s="2">
        <v>3000</v>
      </c>
    </row>
    <row r="115" spans="1:16">
      <c r="A115" s="2" t="str">
        <f>"20141124"</f>
        <v>20141124</v>
      </c>
      <c r="B115" s="2" t="str">
        <f t="shared" si="46"/>
        <v>511990</v>
      </c>
      <c r="C115" s="2" t="str">
        <f t="shared" si="47"/>
        <v>华宝添益</v>
      </c>
      <c r="D115" s="2" t="str">
        <f t="shared" si="43"/>
        <v>担保品买入</v>
      </c>
      <c r="E115" s="2">
        <v>99.765</v>
      </c>
      <c r="F115" s="2">
        <v>200</v>
      </c>
      <c r="G115" s="2">
        <v>19953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-19953</v>
      </c>
      <c r="O115" s="2">
        <v>5424.75</v>
      </c>
      <c r="P115" s="2">
        <v>300</v>
      </c>
    </row>
    <row r="116" spans="1:16">
      <c r="A116" s="2" t="str">
        <f>"20141124"</f>
        <v>20141124</v>
      </c>
      <c r="B116" s="2" t="str">
        <f>"150181"</f>
        <v>150181</v>
      </c>
      <c r="C116" s="2" t="str">
        <f>"军工A"</f>
        <v>军工A</v>
      </c>
      <c r="D116" s="2" t="str">
        <f>"担保物转出"</f>
        <v>担保物转出</v>
      </c>
      <c r="E116" s="2">
        <v>0.88</v>
      </c>
      <c r="F116" s="2">
        <v>23454</v>
      </c>
      <c r="G116" s="2">
        <v>20639.52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5424.75</v>
      </c>
      <c r="P116" s="2">
        <v>0</v>
      </c>
    </row>
    <row r="117" spans="1:16">
      <c r="A117" s="2" t="str">
        <f>"20141125"</f>
        <v>20141125</v>
      </c>
      <c r="B117" s="2" t="str">
        <f t="shared" si="46"/>
        <v>511990</v>
      </c>
      <c r="C117" s="2" t="str">
        <f t="shared" si="47"/>
        <v>华宝添益</v>
      </c>
      <c r="D117" s="2" t="str">
        <f>"担保物转出"</f>
        <v>担保物转出</v>
      </c>
      <c r="E117" s="2">
        <v>99.839</v>
      </c>
      <c r="F117" s="2">
        <v>300</v>
      </c>
      <c r="G117" s="2">
        <v>29951.7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5424.75</v>
      </c>
      <c r="P117" s="2">
        <v>0</v>
      </c>
    </row>
    <row r="118" spans="1:16">
      <c r="A118" s="2" t="str">
        <f>"20141127"</f>
        <v>20141127</v>
      </c>
      <c r="B118" s="2" t="str">
        <f t="shared" si="46"/>
        <v>511990</v>
      </c>
      <c r="C118" s="2" t="str">
        <f t="shared" si="47"/>
        <v>华宝添益</v>
      </c>
      <c r="D118" s="2" t="str">
        <f>"ETF 申购退款"</f>
        <v>ETF 申购退款</v>
      </c>
      <c r="E118" s="2">
        <v>0</v>
      </c>
      <c r="F118" s="2">
        <v>0</v>
      </c>
      <c r="G118" s="2">
        <v>7.63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7.63</v>
      </c>
      <c r="O118" s="2">
        <v>5432.38</v>
      </c>
      <c r="P118" s="2">
        <v>0</v>
      </c>
    </row>
    <row r="119" spans="1:16">
      <c r="A119" s="2" t="str">
        <f t="shared" ref="A119:A129" si="48">"20141205"</f>
        <v>20141205</v>
      </c>
      <c r="B119" s="2" t="str">
        <f t="shared" ref="B119:B123" si="49">"601607"</f>
        <v>601607</v>
      </c>
      <c r="C119" s="2" t="str">
        <f t="shared" ref="C119:C123" si="50">"上海医药"</f>
        <v>上海医药</v>
      </c>
      <c r="D119" s="2" t="str">
        <f t="shared" ref="D119:D124" si="51">"融资买入"</f>
        <v>融资买入</v>
      </c>
      <c r="E119" s="2">
        <v>16.54</v>
      </c>
      <c r="F119" s="2">
        <v>1000</v>
      </c>
      <c r="G119" s="2">
        <v>16540</v>
      </c>
      <c r="H119" s="2">
        <v>18.19</v>
      </c>
      <c r="I119" s="2">
        <v>16.71</v>
      </c>
      <c r="J119" s="2">
        <v>0</v>
      </c>
      <c r="K119" s="2">
        <v>0.6</v>
      </c>
      <c r="L119" s="2">
        <v>0</v>
      </c>
      <c r="M119" s="2">
        <v>0</v>
      </c>
      <c r="N119" s="2">
        <v>-16558.79</v>
      </c>
      <c r="O119" s="2">
        <v>-11126.41</v>
      </c>
      <c r="P119" s="2">
        <v>4000</v>
      </c>
    </row>
    <row r="120" spans="1:16">
      <c r="A120" s="2" t="str">
        <f t="shared" si="48"/>
        <v>20141205</v>
      </c>
      <c r="B120" s="2" t="str">
        <f t="shared" si="49"/>
        <v>601607</v>
      </c>
      <c r="C120" s="2" t="str">
        <f t="shared" si="50"/>
        <v>上海医药</v>
      </c>
      <c r="D120" s="2" t="str">
        <f t="shared" si="51"/>
        <v>融资买入</v>
      </c>
      <c r="E120" s="2">
        <v>16.71</v>
      </c>
      <c r="F120" s="2">
        <v>1000</v>
      </c>
      <c r="G120" s="2">
        <v>16710</v>
      </c>
      <c r="H120" s="2">
        <v>18.38</v>
      </c>
      <c r="I120" s="2">
        <v>16.89</v>
      </c>
      <c r="J120" s="2">
        <v>0</v>
      </c>
      <c r="K120" s="2">
        <v>0.6</v>
      </c>
      <c r="L120" s="2">
        <v>0</v>
      </c>
      <c r="M120" s="2">
        <v>0</v>
      </c>
      <c r="N120" s="2">
        <v>-16728.98</v>
      </c>
      <c r="O120" s="2">
        <v>-27855.39</v>
      </c>
      <c r="P120" s="2">
        <v>5000</v>
      </c>
    </row>
    <row r="121" spans="1:16">
      <c r="A121" s="2" t="str">
        <f t="shared" si="48"/>
        <v>20141205</v>
      </c>
      <c r="B121" s="2" t="str">
        <f t="shared" si="49"/>
        <v>601607</v>
      </c>
      <c r="C121" s="2" t="str">
        <f t="shared" si="50"/>
        <v>上海医药</v>
      </c>
      <c r="D121" s="2" t="str">
        <f>"担保品卖出"</f>
        <v>担保品卖出</v>
      </c>
      <c r="E121" s="2">
        <v>16.4</v>
      </c>
      <c r="F121" s="2">
        <v>3000</v>
      </c>
      <c r="G121" s="2">
        <v>49200</v>
      </c>
      <c r="H121" s="2">
        <v>24.6</v>
      </c>
      <c r="I121" s="2">
        <v>20.2</v>
      </c>
      <c r="J121" s="2">
        <v>49.2</v>
      </c>
      <c r="K121" s="2">
        <v>1.8</v>
      </c>
      <c r="L121" s="2">
        <v>0</v>
      </c>
      <c r="M121" s="2">
        <v>0</v>
      </c>
      <c r="N121" s="2">
        <v>49124.4</v>
      </c>
      <c r="O121" s="2">
        <v>21269.01</v>
      </c>
      <c r="P121" s="2">
        <v>2000</v>
      </c>
    </row>
    <row r="122" spans="1:16">
      <c r="A122" s="2" t="str">
        <f t="shared" si="48"/>
        <v>20141205</v>
      </c>
      <c r="B122" s="2" t="str">
        <f t="shared" si="49"/>
        <v>601607</v>
      </c>
      <c r="C122" s="2" t="str">
        <f t="shared" si="50"/>
        <v>上海医药</v>
      </c>
      <c r="D122" s="2" t="str">
        <f>"担保品买入"</f>
        <v>担保品买入</v>
      </c>
      <c r="E122" s="2">
        <v>16.28</v>
      </c>
      <c r="F122" s="2">
        <v>500</v>
      </c>
      <c r="G122" s="2">
        <v>8140</v>
      </c>
      <c r="H122" s="2">
        <v>5</v>
      </c>
      <c r="I122" s="2">
        <v>4.27</v>
      </c>
      <c r="J122" s="2">
        <v>0</v>
      </c>
      <c r="K122" s="2">
        <v>0.3</v>
      </c>
      <c r="L122" s="2">
        <v>0</v>
      </c>
      <c r="M122" s="2">
        <v>0</v>
      </c>
      <c r="N122" s="2">
        <v>-8145.3</v>
      </c>
      <c r="O122" s="2">
        <v>13123.71</v>
      </c>
      <c r="P122" s="2">
        <v>2500</v>
      </c>
    </row>
    <row r="123" spans="1:16">
      <c r="A123" s="2" t="str">
        <f t="shared" si="48"/>
        <v>20141205</v>
      </c>
      <c r="B123" s="2" t="str">
        <f t="shared" si="49"/>
        <v>601607</v>
      </c>
      <c r="C123" s="2" t="str">
        <f t="shared" si="50"/>
        <v>上海医药</v>
      </c>
      <c r="D123" s="2" t="str">
        <f>"担保品买入"</f>
        <v>担保品买入</v>
      </c>
      <c r="E123" s="2">
        <v>15.93</v>
      </c>
      <c r="F123" s="2">
        <v>500</v>
      </c>
      <c r="G123" s="2">
        <v>7965</v>
      </c>
      <c r="H123" s="2">
        <v>5</v>
      </c>
      <c r="I123" s="2">
        <v>4.29</v>
      </c>
      <c r="J123" s="2">
        <v>0</v>
      </c>
      <c r="K123" s="2">
        <v>0.3</v>
      </c>
      <c r="L123" s="2">
        <v>0</v>
      </c>
      <c r="M123" s="2">
        <v>0</v>
      </c>
      <c r="N123" s="2">
        <v>-7970.3</v>
      </c>
      <c r="O123" s="2">
        <v>5153.41</v>
      </c>
      <c r="P123" s="2">
        <v>3000</v>
      </c>
    </row>
    <row r="124" spans="1:16">
      <c r="A124" s="2" t="str">
        <f t="shared" si="48"/>
        <v>20141205</v>
      </c>
      <c r="B124" s="2" t="str">
        <f>"000541"</f>
        <v>000541</v>
      </c>
      <c r="C124" s="2" t="str">
        <f>"佛山照明"</f>
        <v>佛山照明</v>
      </c>
      <c r="D124" s="2" t="str">
        <f t="shared" si="51"/>
        <v>融资买入</v>
      </c>
      <c r="E124" s="2">
        <v>10.63</v>
      </c>
      <c r="F124" s="2">
        <v>1000</v>
      </c>
      <c r="G124" s="2">
        <v>10630</v>
      </c>
      <c r="H124" s="2">
        <v>11.69</v>
      </c>
      <c r="I124" s="2">
        <v>10.45</v>
      </c>
      <c r="J124" s="2">
        <v>0</v>
      </c>
      <c r="K124" s="2">
        <v>0</v>
      </c>
      <c r="L124" s="2">
        <v>0</v>
      </c>
      <c r="M124" s="2">
        <v>0</v>
      </c>
      <c r="N124" s="2">
        <v>-10641.69</v>
      </c>
      <c r="O124" s="2">
        <v>-5488.28</v>
      </c>
      <c r="P124" s="2">
        <v>1000</v>
      </c>
    </row>
    <row r="125" spans="1:16">
      <c r="A125" s="2" t="str">
        <f t="shared" si="48"/>
        <v>20141205</v>
      </c>
      <c r="B125" s="2"/>
      <c r="C125" s="2"/>
      <c r="D125" s="2" t="str">
        <f t="shared" ref="D125:D127" si="52">"融资借入"</f>
        <v>融资借入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10641.69</v>
      </c>
      <c r="O125" s="2">
        <v>5153.41</v>
      </c>
      <c r="P125" s="2">
        <v>0</v>
      </c>
    </row>
    <row r="126" spans="1:16">
      <c r="A126" s="2" t="str">
        <f t="shared" si="48"/>
        <v>20141205</v>
      </c>
      <c r="B126" s="2"/>
      <c r="C126" s="2"/>
      <c r="D126" s="2" t="str">
        <f t="shared" si="52"/>
        <v>融资借入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16558.79</v>
      </c>
      <c r="O126" s="2">
        <v>21712.2</v>
      </c>
      <c r="P126" s="2">
        <v>0</v>
      </c>
    </row>
    <row r="127" spans="1:16">
      <c r="A127" s="2" t="str">
        <f t="shared" si="48"/>
        <v>20141205</v>
      </c>
      <c r="B127" s="2"/>
      <c r="C127" s="2"/>
      <c r="D127" s="2" t="str">
        <f t="shared" si="52"/>
        <v>融资借入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16728.98</v>
      </c>
      <c r="O127" s="2">
        <v>38441.18</v>
      </c>
      <c r="P127" s="2">
        <v>0</v>
      </c>
    </row>
    <row r="128" spans="1:16">
      <c r="A128" s="2" t="str">
        <f t="shared" si="48"/>
        <v>20141205</v>
      </c>
      <c r="B128" s="2"/>
      <c r="C128" s="2"/>
      <c r="D128" s="2" t="str">
        <f t="shared" ref="D128:D132" si="53">"偿还融资负债本金"</f>
        <v>偿还融资负债本金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-16558.79</v>
      </c>
      <c r="O128" s="2">
        <v>21882.39</v>
      </c>
      <c r="P128" s="2">
        <v>0</v>
      </c>
    </row>
    <row r="129" spans="1:16">
      <c r="A129" s="2" t="str">
        <f t="shared" si="48"/>
        <v>20141205</v>
      </c>
      <c r="B129" s="2"/>
      <c r="C129" s="2"/>
      <c r="D129" s="2" t="str">
        <f t="shared" si="53"/>
        <v>偿还融资负债本金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-16728.98</v>
      </c>
      <c r="O129" s="2">
        <v>5153.41</v>
      </c>
      <c r="P129" s="2">
        <v>0</v>
      </c>
    </row>
    <row r="130" spans="1:16">
      <c r="A130" s="2" t="str">
        <f t="shared" ref="A130:A132" si="54">"20141212"</f>
        <v>20141212</v>
      </c>
      <c r="B130" s="2" t="str">
        <f>"000541"</f>
        <v>000541</v>
      </c>
      <c r="C130" s="2" t="str">
        <f>"佛山照明"</f>
        <v>佛山照明</v>
      </c>
      <c r="D130" s="2" t="str">
        <f>"卖券还款"</f>
        <v>卖券还款</v>
      </c>
      <c r="E130" s="2">
        <v>11.04</v>
      </c>
      <c r="F130" s="2">
        <v>1000</v>
      </c>
      <c r="G130" s="2">
        <v>11040</v>
      </c>
      <c r="H130" s="2">
        <v>12.14</v>
      </c>
      <c r="I130" s="2">
        <v>10.87</v>
      </c>
      <c r="J130" s="2">
        <v>11.04</v>
      </c>
      <c r="K130" s="2">
        <v>0</v>
      </c>
      <c r="L130" s="2">
        <v>0</v>
      </c>
      <c r="M130" s="2">
        <v>0</v>
      </c>
      <c r="N130" s="2">
        <v>11016.82</v>
      </c>
      <c r="O130" s="2">
        <v>16170.23</v>
      </c>
      <c r="P130" s="2">
        <v>0</v>
      </c>
    </row>
    <row r="131" spans="1:16">
      <c r="A131" s="2" t="str">
        <f t="shared" si="54"/>
        <v>20141212</v>
      </c>
      <c r="B131" s="2"/>
      <c r="C131" s="2"/>
      <c r="D131" s="2" t="str">
        <f>"偿还融资利息"</f>
        <v>偿还融资利息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-17.78</v>
      </c>
      <c r="O131" s="2">
        <v>16152.45</v>
      </c>
      <c r="P131" s="2">
        <v>0</v>
      </c>
    </row>
    <row r="132" spans="1:16">
      <c r="A132" s="2" t="str">
        <f t="shared" si="54"/>
        <v>20141212</v>
      </c>
      <c r="B132" s="2"/>
      <c r="C132" s="2"/>
      <c r="D132" s="2" t="str">
        <f t="shared" si="53"/>
        <v>偿还融资负债本金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-10641.69</v>
      </c>
      <c r="O132" s="2">
        <v>5510.76</v>
      </c>
      <c r="P132" s="2">
        <v>0</v>
      </c>
    </row>
    <row r="133" spans="1:16">
      <c r="A133" s="2" t="str">
        <f t="shared" ref="A133:A135" si="55">"20141219"</f>
        <v>20141219</v>
      </c>
      <c r="B133" s="2"/>
      <c r="C133" s="2"/>
      <c r="D133" s="2" t="str">
        <f>"证券转银行"</f>
        <v>证券转银行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-5500</v>
      </c>
      <c r="O133" s="2">
        <v>10.76</v>
      </c>
      <c r="P133" s="2">
        <v>0</v>
      </c>
    </row>
    <row r="134" spans="1:16">
      <c r="A134" s="2" t="str">
        <f t="shared" si="55"/>
        <v>20141219</v>
      </c>
      <c r="B134" s="2"/>
      <c r="C134" s="2"/>
      <c r="D134" s="2" t="str">
        <f>"银行转证券"</f>
        <v>银行转证券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500</v>
      </c>
      <c r="O134" s="2">
        <v>510.76</v>
      </c>
      <c r="P134" s="2">
        <v>0</v>
      </c>
    </row>
    <row r="135" spans="1:16">
      <c r="A135" s="2" t="str">
        <f t="shared" si="55"/>
        <v>20141219</v>
      </c>
      <c r="B135" s="2"/>
      <c r="C135" s="2"/>
      <c r="D135" s="2" t="str">
        <f>"利息归本"</f>
        <v>利息归本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6.58</v>
      </c>
      <c r="O135" s="2">
        <v>517.34</v>
      </c>
      <c r="P135" s="2">
        <v>0</v>
      </c>
    </row>
    <row r="136" spans="1:16">
      <c r="A136" s="2" t="str">
        <f>"20141222"</f>
        <v>20141222</v>
      </c>
      <c r="B136" s="2" t="str">
        <f>"601179"</f>
        <v>601179</v>
      </c>
      <c r="C136" s="2" t="str">
        <f>"中国西电"</f>
        <v>中国西电</v>
      </c>
      <c r="D136" s="2" t="str">
        <f>"融资买入"</f>
        <v>融资买入</v>
      </c>
      <c r="E136" s="2">
        <v>8.47</v>
      </c>
      <c r="F136" s="2">
        <v>1000</v>
      </c>
      <c r="G136" s="2">
        <v>8470</v>
      </c>
      <c r="H136" s="2">
        <v>9.32</v>
      </c>
      <c r="I136" s="2">
        <v>8.56</v>
      </c>
      <c r="J136" s="2">
        <v>0</v>
      </c>
      <c r="K136" s="2">
        <v>0.6</v>
      </c>
      <c r="L136" s="2">
        <v>0</v>
      </c>
      <c r="M136" s="2">
        <v>0</v>
      </c>
      <c r="N136" s="2">
        <v>-8479.92</v>
      </c>
      <c r="O136" s="2">
        <v>-7962.58</v>
      </c>
      <c r="P136" s="2">
        <v>1000</v>
      </c>
    </row>
    <row r="137" spans="1:16">
      <c r="A137" s="2" t="str">
        <f>"20141222"</f>
        <v>20141222</v>
      </c>
      <c r="B137" s="2"/>
      <c r="C137" s="2"/>
      <c r="D137" s="2" t="str">
        <f>"融资借入"</f>
        <v>融资借入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8479.92</v>
      </c>
      <c r="O137" s="2">
        <v>517.34</v>
      </c>
      <c r="P137" s="2">
        <v>0</v>
      </c>
    </row>
    <row r="138" spans="1:16">
      <c r="A138" s="2" t="str">
        <f t="shared" ref="A138:A141" si="56">"20141226"</f>
        <v>20141226</v>
      </c>
      <c r="B138" s="2" t="str">
        <f>"601179"</f>
        <v>601179</v>
      </c>
      <c r="C138" s="2" t="str">
        <f>"中国西电"</f>
        <v>中国西电</v>
      </c>
      <c r="D138" s="2" t="str">
        <f>"卖券还款"</f>
        <v>卖券还款</v>
      </c>
      <c r="E138" s="2">
        <v>7.65</v>
      </c>
      <c r="F138" s="2">
        <v>1000</v>
      </c>
      <c r="G138" s="2">
        <v>7650</v>
      </c>
      <c r="H138" s="2">
        <v>8.42</v>
      </c>
      <c r="I138" s="2">
        <v>7.73</v>
      </c>
      <c r="J138" s="2">
        <v>7.66</v>
      </c>
      <c r="K138" s="2">
        <v>0.6</v>
      </c>
      <c r="L138" s="2">
        <v>0</v>
      </c>
      <c r="M138" s="2">
        <v>0</v>
      </c>
      <c r="N138" s="2">
        <v>7633.32</v>
      </c>
      <c r="O138" s="2">
        <v>8150.66</v>
      </c>
      <c r="P138" s="2">
        <v>0</v>
      </c>
    </row>
    <row r="139" spans="1:16">
      <c r="A139" s="2" t="str">
        <f t="shared" si="56"/>
        <v>20141226</v>
      </c>
      <c r="B139" s="2"/>
      <c r="C139" s="2"/>
      <c r="D139" s="2" t="str">
        <f>"偿还融资负债本金"</f>
        <v>偿还融资负债本金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-517</v>
      </c>
      <c r="O139" s="2">
        <v>7633.66</v>
      </c>
      <c r="P139" s="2">
        <v>0</v>
      </c>
    </row>
    <row r="140" spans="1:16">
      <c r="A140" s="2" t="str">
        <f t="shared" si="56"/>
        <v>20141226</v>
      </c>
      <c r="B140" s="2"/>
      <c r="C140" s="2"/>
      <c r="D140" s="2" t="str">
        <f>"偿还融资利息"</f>
        <v>偿还融资利息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-8.12</v>
      </c>
      <c r="O140" s="2">
        <v>7625.54</v>
      </c>
      <c r="P140" s="2">
        <v>0</v>
      </c>
    </row>
    <row r="141" spans="1:16">
      <c r="A141" s="2" t="str">
        <f t="shared" si="56"/>
        <v>20141226</v>
      </c>
      <c r="B141" s="2"/>
      <c r="C141" s="2"/>
      <c r="D141" s="2" t="str">
        <f>"偿还融资负债本金"</f>
        <v>偿还融资负债本金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-7625.2</v>
      </c>
      <c r="O141" s="2">
        <v>0.34</v>
      </c>
      <c r="P141" s="2">
        <v>0</v>
      </c>
    </row>
    <row r="142" spans="1:16">
      <c r="A142" s="2" t="str">
        <f t="shared" ref="A142:A145" si="57">"20141230"</f>
        <v>20141230</v>
      </c>
      <c r="B142" s="2" t="str">
        <f>"600066"</f>
        <v>600066</v>
      </c>
      <c r="C142" s="2" t="str">
        <f>"宇通客车"</f>
        <v>宇通客车</v>
      </c>
      <c r="D142" s="2" t="str">
        <f>"融资买入"</f>
        <v>融资买入</v>
      </c>
      <c r="E142" s="2">
        <v>20.58</v>
      </c>
      <c r="F142" s="2">
        <v>500</v>
      </c>
      <c r="G142" s="2">
        <v>10290</v>
      </c>
      <c r="H142" s="2">
        <v>11.32</v>
      </c>
      <c r="I142" s="2">
        <v>10.39</v>
      </c>
      <c r="J142" s="2">
        <v>0</v>
      </c>
      <c r="K142" s="2">
        <v>0.3</v>
      </c>
      <c r="L142" s="2">
        <v>0</v>
      </c>
      <c r="M142" s="2">
        <v>0</v>
      </c>
      <c r="N142" s="2">
        <v>-10301.62</v>
      </c>
      <c r="O142" s="2">
        <v>-10301.28</v>
      </c>
      <c r="P142" s="2">
        <v>500</v>
      </c>
    </row>
    <row r="143" spans="1:16">
      <c r="A143" s="2" t="str">
        <f t="shared" si="57"/>
        <v>20141230</v>
      </c>
      <c r="B143" s="2" t="str">
        <f>"600066"</f>
        <v>600066</v>
      </c>
      <c r="C143" s="2" t="str">
        <f>"宇通客车"</f>
        <v>宇通客车</v>
      </c>
      <c r="D143" s="2" t="str">
        <f>"融资买入"</f>
        <v>融资买入</v>
      </c>
      <c r="E143" s="2">
        <v>20.53</v>
      </c>
      <c r="F143" s="2">
        <v>500</v>
      </c>
      <c r="G143" s="2">
        <v>10265</v>
      </c>
      <c r="H143" s="2">
        <v>11.29</v>
      </c>
      <c r="I143" s="2">
        <v>10.38</v>
      </c>
      <c r="J143" s="2">
        <v>0</v>
      </c>
      <c r="K143" s="2">
        <v>0.3</v>
      </c>
      <c r="L143" s="2">
        <v>0</v>
      </c>
      <c r="M143" s="2">
        <v>0</v>
      </c>
      <c r="N143" s="2">
        <v>-10276.59</v>
      </c>
      <c r="O143" s="2">
        <v>-20577.87</v>
      </c>
      <c r="P143" s="2">
        <v>1000</v>
      </c>
    </row>
    <row r="144" spans="1:16">
      <c r="A144" s="2" t="str">
        <f t="shared" si="57"/>
        <v>20141230</v>
      </c>
      <c r="B144" s="2"/>
      <c r="C144" s="2"/>
      <c r="D144" s="2" t="str">
        <f>"融资借入"</f>
        <v>融资借入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10301.62</v>
      </c>
      <c r="O144" s="2">
        <v>-10276.25</v>
      </c>
      <c r="P144" s="2">
        <v>0</v>
      </c>
    </row>
    <row r="145" spans="1:16">
      <c r="A145" s="2" t="str">
        <f t="shared" si="57"/>
        <v>20141230</v>
      </c>
      <c r="B145" s="2"/>
      <c r="C145" s="2"/>
      <c r="D145" s="2" t="str">
        <f>"融资借入"</f>
        <v>融资借入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10276.59</v>
      </c>
      <c r="O145" s="2">
        <v>0.34</v>
      </c>
      <c r="P145" s="2">
        <v>0</v>
      </c>
    </row>
    <row r="146" spans="1:16">
      <c r="A146" s="2" t="str">
        <f>"20150105"</f>
        <v>20150105</v>
      </c>
      <c r="B146" s="2"/>
      <c r="C146" s="2"/>
      <c r="D146" s="2" t="str">
        <f>"银行转证券"</f>
        <v>银行转证券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20000</v>
      </c>
      <c r="O146" s="2">
        <v>20000.34</v>
      </c>
      <c r="P146" s="2">
        <v>0</v>
      </c>
    </row>
    <row r="147" spans="1:16">
      <c r="A147" s="2" t="str">
        <f t="shared" ref="A147:A155" si="58">"20150106"</f>
        <v>20150106</v>
      </c>
      <c r="B147" s="2" t="str">
        <f>"150181"</f>
        <v>150181</v>
      </c>
      <c r="C147" s="2" t="str">
        <f>"军工A"</f>
        <v>军工A</v>
      </c>
      <c r="D147" s="2" t="str">
        <f>"担保物转入"</f>
        <v>担保物转入</v>
      </c>
      <c r="E147" s="2">
        <v>0.8</v>
      </c>
      <c r="F147" s="2">
        <v>71634</v>
      </c>
      <c r="G147" s="2">
        <v>57307.2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20000.34</v>
      </c>
      <c r="P147" s="2">
        <v>71634</v>
      </c>
    </row>
    <row r="148" spans="1:16">
      <c r="A148" s="2" t="str">
        <f t="shared" si="58"/>
        <v>20150106</v>
      </c>
      <c r="B148" s="2" t="str">
        <f>"000541"</f>
        <v>000541</v>
      </c>
      <c r="C148" s="2" t="str">
        <f>"佛山照明"</f>
        <v>佛山照明</v>
      </c>
      <c r="D148" s="2" t="str">
        <f>"担保品买入"</f>
        <v>担保品买入</v>
      </c>
      <c r="E148" s="2">
        <v>10.39</v>
      </c>
      <c r="F148" s="2">
        <v>1000</v>
      </c>
      <c r="G148" s="2">
        <v>10390</v>
      </c>
      <c r="H148" s="2">
        <v>5.2</v>
      </c>
      <c r="I148" s="2">
        <v>4</v>
      </c>
      <c r="J148" s="2">
        <v>0</v>
      </c>
      <c r="K148" s="2">
        <v>0</v>
      </c>
      <c r="L148" s="2">
        <v>0</v>
      </c>
      <c r="M148" s="2">
        <v>0</v>
      </c>
      <c r="N148" s="2">
        <v>-10395.2</v>
      </c>
      <c r="O148" s="2">
        <v>9605.14</v>
      </c>
      <c r="P148" s="2">
        <v>1000</v>
      </c>
    </row>
    <row r="149" spans="1:16">
      <c r="A149" s="2" t="str">
        <f t="shared" si="58"/>
        <v>20150106</v>
      </c>
      <c r="B149" s="2" t="str">
        <f>"600467"</f>
        <v>600467</v>
      </c>
      <c r="C149" s="2" t="str">
        <f>"好当家"</f>
        <v>好当家</v>
      </c>
      <c r="D149" s="2" t="str">
        <f>"担保品卖出"</f>
        <v>担保品卖出</v>
      </c>
      <c r="E149" s="2">
        <v>6.53</v>
      </c>
      <c r="F149" s="2">
        <v>2000</v>
      </c>
      <c r="G149" s="2">
        <v>13060</v>
      </c>
      <c r="H149" s="2">
        <v>6.53</v>
      </c>
      <c r="I149" s="2">
        <v>5.36</v>
      </c>
      <c r="J149" s="2">
        <v>13.06</v>
      </c>
      <c r="K149" s="2">
        <v>1.2</v>
      </c>
      <c r="L149" s="2">
        <v>0</v>
      </c>
      <c r="M149" s="2">
        <v>0</v>
      </c>
      <c r="N149" s="2">
        <v>13039.21</v>
      </c>
      <c r="O149" s="2">
        <v>22644.35</v>
      </c>
      <c r="P149" s="2">
        <v>0</v>
      </c>
    </row>
    <row r="150" spans="1:16">
      <c r="A150" s="2" t="str">
        <f t="shared" si="58"/>
        <v>20150106</v>
      </c>
      <c r="B150" s="2" t="str">
        <f>"600066"</f>
        <v>600066</v>
      </c>
      <c r="C150" s="2" t="str">
        <f>"宇通客车"</f>
        <v>宇通客车</v>
      </c>
      <c r="D150" s="2" t="str">
        <f>"担保品买入"</f>
        <v>担保品买入</v>
      </c>
      <c r="E150" s="2">
        <v>23.81</v>
      </c>
      <c r="F150" s="2">
        <v>900</v>
      </c>
      <c r="G150" s="2">
        <v>21429</v>
      </c>
      <c r="H150" s="2">
        <v>10.71</v>
      </c>
      <c r="I150" s="2">
        <v>8.79</v>
      </c>
      <c r="J150" s="2">
        <v>0</v>
      </c>
      <c r="K150" s="2">
        <v>0.54</v>
      </c>
      <c r="L150" s="2">
        <v>0</v>
      </c>
      <c r="M150" s="2">
        <v>0</v>
      </c>
      <c r="N150" s="2">
        <v>-21440.25</v>
      </c>
      <c r="O150" s="2">
        <v>1204.1</v>
      </c>
      <c r="P150" s="2">
        <v>1900</v>
      </c>
    </row>
    <row r="151" spans="1:16">
      <c r="A151" s="2" t="str">
        <f t="shared" si="58"/>
        <v>20150106</v>
      </c>
      <c r="B151" s="2"/>
      <c r="C151" s="2"/>
      <c r="D151" s="2" t="str">
        <f>"偿还融资利息"</f>
        <v>偿还融资利息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-0.88</v>
      </c>
      <c r="O151" s="2">
        <v>1203.22</v>
      </c>
      <c r="P151" s="2">
        <v>0</v>
      </c>
    </row>
    <row r="152" spans="1:16">
      <c r="A152" s="2" t="str">
        <f t="shared" si="58"/>
        <v>20150106</v>
      </c>
      <c r="B152" s="2"/>
      <c r="C152" s="2"/>
      <c r="D152" s="2" t="str">
        <f t="shared" ref="D152:D155" si="59">"偿还融资负债本金"</f>
        <v>偿还融资负债本金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-336.84</v>
      </c>
      <c r="O152" s="2">
        <v>866.38</v>
      </c>
      <c r="P152" s="2">
        <v>0</v>
      </c>
    </row>
    <row r="153" spans="1:16">
      <c r="A153" s="2" t="str">
        <f t="shared" si="58"/>
        <v>20150106</v>
      </c>
      <c r="B153" s="2"/>
      <c r="C153" s="2"/>
      <c r="D153" s="2" t="str">
        <f t="shared" si="59"/>
        <v>偿还融资负债本金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-0.88</v>
      </c>
      <c r="O153" s="2">
        <v>865.5</v>
      </c>
      <c r="P153" s="2">
        <v>0</v>
      </c>
    </row>
    <row r="154" spans="1:16">
      <c r="A154" s="2" t="str">
        <f t="shared" si="58"/>
        <v>20150106</v>
      </c>
      <c r="B154" s="2"/>
      <c r="C154" s="2"/>
      <c r="D154" s="2" t="str">
        <f>"偿还融资利息"</f>
        <v>偿还融资利息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-17.22</v>
      </c>
      <c r="O154" s="2">
        <v>848.28</v>
      </c>
      <c r="P154" s="2">
        <v>0</v>
      </c>
    </row>
    <row r="155" spans="1:16">
      <c r="A155" s="2" t="str">
        <f t="shared" si="58"/>
        <v>20150106</v>
      </c>
      <c r="B155" s="2"/>
      <c r="C155" s="2"/>
      <c r="D155" s="2" t="str">
        <f t="shared" si="59"/>
        <v>偿还融资负债本金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-221.9</v>
      </c>
      <c r="O155" s="2">
        <v>626.38</v>
      </c>
      <c r="P155" s="2">
        <v>0</v>
      </c>
    </row>
    <row r="156" spans="1:16">
      <c r="A156" s="2" t="str">
        <f t="shared" ref="A156:A161" si="60">"20150107"</f>
        <v>20150107</v>
      </c>
      <c r="B156" s="2" t="str">
        <f>"600066"</f>
        <v>600066</v>
      </c>
      <c r="C156" s="2" t="str">
        <f>"宇通客车"</f>
        <v>宇通客车</v>
      </c>
      <c r="D156" s="2" t="str">
        <f>"卖券还款"</f>
        <v>卖券还款</v>
      </c>
      <c r="E156" s="2">
        <v>24.57</v>
      </c>
      <c r="F156" s="2">
        <v>900</v>
      </c>
      <c r="G156" s="2">
        <v>22113</v>
      </c>
      <c r="H156" s="2">
        <v>24.32</v>
      </c>
      <c r="I156" s="2">
        <v>22.34</v>
      </c>
      <c r="J156" s="2">
        <v>22.11</v>
      </c>
      <c r="K156" s="2">
        <v>0.54</v>
      </c>
      <c r="L156" s="2">
        <v>0</v>
      </c>
      <c r="M156" s="2">
        <v>0</v>
      </c>
      <c r="N156" s="2">
        <v>22066.03</v>
      </c>
      <c r="O156" s="2">
        <v>22692.41</v>
      </c>
      <c r="P156" s="2">
        <v>1000</v>
      </c>
    </row>
    <row r="157" spans="1:16">
      <c r="A157" s="2" t="str">
        <f t="shared" si="60"/>
        <v>20150107</v>
      </c>
      <c r="B157" s="2" t="str">
        <f>"000541"</f>
        <v>000541</v>
      </c>
      <c r="C157" s="2" t="str">
        <f>"佛山照明"</f>
        <v>佛山照明</v>
      </c>
      <c r="D157" s="2" t="str">
        <f>"担保品卖出"</f>
        <v>担保品卖出</v>
      </c>
      <c r="E157" s="2">
        <v>10.61</v>
      </c>
      <c r="F157" s="2">
        <v>1000</v>
      </c>
      <c r="G157" s="2">
        <v>10610</v>
      </c>
      <c r="H157" s="2">
        <v>5.31</v>
      </c>
      <c r="I157" s="2">
        <v>4.09</v>
      </c>
      <c r="J157" s="2">
        <v>10.61</v>
      </c>
      <c r="K157" s="2">
        <v>0</v>
      </c>
      <c r="L157" s="2">
        <v>0</v>
      </c>
      <c r="M157" s="2">
        <v>0</v>
      </c>
      <c r="N157" s="2">
        <v>10594.08</v>
      </c>
      <c r="O157" s="2">
        <v>33286.49</v>
      </c>
      <c r="P157" s="2">
        <v>0</v>
      </c>
    </row>
    <row r="158" spans="1:16">
      <c r="A158" s="2" t="str">
        <f t="shared" si="60"/>
        <v>20150107</v>
      </c>
      <c r="B158" s="2"/>
      <c r="C158" s="2"/>
      <c r="D158" s="2" t="str">
        <f>"偿还融资利息"</f>
        <v>偿还融资利息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-2.41</v>
      </c>
      <c r="O158" s="2">
        <v>33284.08</v>
      </c>
      <c r="P158" s="2">
        <v>0</v>
      </c>
    </row>
    <row r="159" spans="1:16">
      <c r="A159" s="2" t="str">
        <f t="shared" si="60"/>
        <v>20150107</v>
      </c>
      <c r="B159" s="2"/>
      <c r="C159" s="2"/>
      <c r="D159" s="2" t="str">
        <f>"偿还融资负债本金"</f>
        <v>偿还融资负债本金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-10079.72</v>
      </c>
      <c r="O159" s="2">
        <v>23204.36</v>
      </c>
      <c r="P159" s="2">
        <v>0</v>
      </c>
    </row>
    <row r="160" spans="1:16">
      <c r="A160" s="2" t="str">
        <f t="shared" si="60"/>
        <v>20150107</v>
      </c>
      <c r="B160" s="2"/>
      <c r="C160" s="2"/>
      <c r="D160" s="2" t="str">
        <f>"偿还融资利息"</f>
        <v>偿还融资利息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-19.62</v>
      </c>
      <c r="O160" s="2">
        <v>23184.74</v>
      </c>
      <c r="P160" s="2">
        <v>0</v>
      </c>
    </row>
    <row r="161" spans="1:16">
      <c r="A161" s="2" t="str">
        <f t="shared" si="60"/>
        <v>20150107</v>
      </c>
      <c r="B161" s="2"/>
      <c r="C161" s="2"/>
      <c r="D161" s="2" t="str">
        <f>"偿还融资负债本金"</f>
        <v>偿还融资负债本金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-10276.59</v>
      </c>
      <c r="O161" s="2">
        <v>12908.15</v>
      </c>
      <c r="P161" s="2">
        <v>0</v>
      </c>
    </row>
    <row r="162" spans="1:16">
      <c r="A162" s="2" t="str">
        <f>"20150116"</f>
        <v>20150116</v>
      </c>
      <c r="B162" s="2" t="str">
        <f t="shared" ref="B162:B164" si="61">"000541"</f>
        <v>000541</v>
      </c>
      <c r="C162" s="2" t="str">
        <f t="shared" ref="C162:C164" si="62">"佛山照明"</f>
        <v>佛山照明</v>
      </c>
      <c r="D162" s="2" t="str">
        <f>"担保品买入"</f>
        <v>担保品买入</v>
      </c>
      <c r="E162" s="2">
        <v>10.51</v>
      </c>
      <c r="F162" s="2">
        <v>1000</v>
      </c>
      <c r="G162" s="2">
        <v>10510</v>
      </c>
      <c r="H162" s="2">
        <v>5.26</v>
      </c>
      <c r="I162" s="2">
        <v>4.05</v>
      </c>
      <c r="J162" s="2">
        <v>0</v>
      </c>
      <c r="K162" s="2">
        <v>0</v>
      </c>
      <c r="L162" s="2">
        <v>0</v>
      </c>
      <c r="M162" s="2">
        <v>0</v>
      </c>
      <c r="N162" s="2">
        <v>-10515.26</v>
      </c>
      <c r="O162" s="2">
        <v>2392.89</v>
      </c>
      <c r="P162" s="2">
        <v>1000</v>
      </c>
    </row>
    <row r="163" spans="1:16">
      <c r="A163" s="2" t="str">
        <f>"20150123"</f>
        <v>20150123</v>
      </c>
      <c r="B163" s="2" t="str">
        <f t="shared" si="61"/>
        <v>000541</v>
      </c>
      <c r="C163" s="2" t="str">
        <f t="shared" si="62"/>
        <v>佛山照明</v>
      </c>
      <c r="D163" s="2" t="str">
        <f>"担保品卖出"</f>
        <v>担保品卖出</v>
      </c>
      <c r="E163" s="2">
        <v>10.95</v>
      </c>
      <c r="F163" s="2">
        <v>1000</v>
      </c>
      <c r="G163" s="2">
        <v>10950</v>
      </c>
      <c r="H163" s="2">
        <v>5.48</v>
      </c>
      <c r="I163" s="2">
        <v>4.22</v>
      </c>
      <c r="J163" s="2">
        <v>10.95</v>
      </c>
      <c r="K163" s="2">
        <v>0</v>
      </c>
      <c r="L163" s="2">
        <v>0</v>
      </c>
      <c r="M163" s="2">
        <v>0</v>
      </c>
      <c r="N163" s="2">
        <v>10933.57</v>
      </c>
      <c r="O163" s="2">
        <v>13326.46</v>
      </c>
      <c r="P163" s="2">
        <v>0</v>
      </c>
    </row>
    <row r="164" spans="1:16">
      <c r="A164" s="2" t="str">
        <f>"20150129"</f>
        <v>20150129</v>
      </c>
      <c r="B164" s="2" t="str">
        <f t="shared" si="61"/>
        <v>000541</v>
      </c>
      <c r="C164" s="2" t="str">
        <f t="shared" si="62"/>
        <v>佛山照明</v>
      </c>
      <c r="D164" s="2" t="str">
        <f>"担保品买入"</f>
        <v>担保品买入</v>
      </c>
      <c r="E164" s="2">
        <v>11.16</v>
      </c>
      <c r="F164" s="2">
        <v>1000</v>
      </c>
      <c r="G164" s="2">
        <v>11160</v>
      </c>
      <c r="H164" s="2">
        <v>5.58</v>
      </c>
      <c r="I164" s="2">
        <v>4.3</v>
      </c>
      <c r="J164" s="2">
        <v>0</v>
      </c>
      <c r="K164" s="2">
        <v>0</v>
      </c>
      <c r="L164" s="2">
        <v>0</v>
      </c>
      <c r="M164" s="2">
        <v>0</v>
      </c>
      <c r="N164" s="2">
        <v>-11165.58</v>
      </c>
      <c r="O164" s="2">
        <v>2160.88</v>
      </c>
      <c r="P164" s="2">
        <v>1000</v>
      </c>
    </row>
    <row r="165" spans="1:16">
      <c r="A165" s="2" t="str">
        <f>"20150210"</f>
        <v>20150210</v>
      </c>
      <c r="B165" s="2" t="str">
        <f>"600219"</f>
        <v>600219</v>
      </c>
      <c r="C165" s="2" t="str">
        <f>"南山铝业"</f>
        <v>南山铝业</v>
      </c>
      <c r="D165" s="2" t="str">
        <f>"融资买入"</f>
        <v>融资买入</v>
      </c>
      <c r="E165" s="2">
        <v>8.06</v>
      </c>
      <c r="F165" s="2">
        <v>1000</v>
      </c>
      <c r="G165" s="2">
        <v>8060</v>
      </c>
      <c r="H165" s="2">
        <v>8.87</v>
      </c>
      <c r="I165" s="2">
        <v>8.15</v>
      </c>
      <c r="J165" s="2">
        <v>0</v>
      </c>
      <c r="K165" s="2">
        <v>0.6</v>
      </c>
      <c r="L165" s="2">
        <v>0</v>
      </c>
      <c r="M165" s="2">
        <v>0</v>
      </c>
      <c r="N165" s="2">
        <v>-8069.47</v>
      </c>
      <c r="O165" s="2">
        <v>-5908.59</v>
      </c>
      <c r="P165" s="2">
        <v>1000</v>
      </c>
    </row>
    <row r="166" spans="1:16">
      <c r="A166" s="2" t="str">
        <f>"20150210"</f>
        <v>20150210</v>
      </c>
      <c r="B166" s="2"/>
      <c r="C166" s="2"/>
      <c r="D166" s="2" t="str">
        <f>"融资借入"</f>
        <v>融资借入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8069.47</v>
      </c>
      <c r="O166" s="2">
        <v>2160.88</v>
      </c>
      <c r="P166" s="2">
        <v>0</v>
      </c>
    </row>
    <row r="167" spans="1:16">
      <c r="A167" s="2" t="str">
        <f t="shared" ref="A167:A169" si="63">"20150211"</f>
        <v>20150211</v>
      </c>
      <c r="B167" s="2"/>
      <c r="C167" s="2"/>
      <c r="D167" s="2" t="str">
        <f>"银行转证券"</f>
        <v>银行转证券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8000</v>
      </c>
      <c r="O167" s="2">
        <v>10160.88</v>
      </c>
      <c r="P167" s="2">
        <v>0</v>
      </c>
    </row>
    <row r="168" spans="1:16">
      <c r="A168" s="2" t="str">
        <f t="shared" si="63"/>
        <v>20150211</v>
      </c>
      <c r="B168" s="2"/>
      <c r="C168" s="2"/>
      <c r="D168" s="2" t="str">
        <f>"偿还融资利息"</f>
        <v>偿还融资利息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-1.93</v>
      </c>
      <c r="O168" s="2">
        <v>10158.95</v>
      </c>
      <c r="P168" s="2">
        <v>0</v>
      </c>
    </row>
    <row r="169" spans="1:16">
      <c r="A169" s="2" t="str">
        <f t="shared" si="63"/>
        <v>20150211</v>
      </c>
      <c r="B169" s="2"/>
      <c r="C169" s="2"/>
      <c r="D169" s="2" t="str">
        <f>"偿还融资负债本金"</f>
        <v>偿还融资负债本金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-8069.47</v>
      </c>
      <c r="O169" s="2">
        <v>2089.48</v>
      </c>
      <c r="P169" s="2">
        <v>0</v>
      </c>
    </row>
    <row r="170" spans="1:16">
      <c r="A170" s="2" t="str">
        <f>"20150212"</f>
        <v>20150212</v>
      </c>
      <c r="B170" s="2" t="str">
        <f>"601179"</f>
        <v>601179</v>
      </c>
      <c r="C170" s="2" t="str">
        <f>"中国西电"</f>
        <v>中国西电</v>
      </c>
      <c r="D170" s="2" t="str">
        <f>"融资买入"</f>
        <v>融资买入</v>
      </c>
      <c r="E170" s="2">
        <v>6.4</v>
      </c>
      <c r="F170" s="2">
        <v>1000</v>
      </c>
      <c r="G170" s="2">
        <v>6400</v>
      </c>
      <c r="H170" s="2">
        <v>7.04</v>
      </c>
      <c r="I170" s="2">
        <v>6.46</v>
      </c>
      <c r="J170" s="2">
        <v>0</v>
      </c>
      <c r="K170" s="2">
        <v>0.6</v>
      </c>
      <c r="L170" s="2">
        <v>0</v>
      </c>
      <c r="M170" s="2">
        <v>0</v>
      </c>
      <c r="N170" s="2">
        <v>-6407.64</v>
      </c>
      <c r="O170" s="2">
        <v>-4318.16</v>
      </c>
      <c r="P170" s="2">
        <v>1000</v>
      </c>
    </row>
    <row r="171" spans="1:16">
      <c r="A171" s="2" t="str">
        <f>"20150212"</f>
        <v>20150212</v>
      </c>
      <c r="B171" s="2"/>
      <c r="C171" s="2"/>
      <c r="D171" s="2" t="str">
        <f>"融资借入"</f>
        <v>融资借入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6407.64</v>
      </c>
      <c r="O171" s="2">
        <v>2089.48</v>
      </c>
      <c r="P171" s="2">
        <v>0</v>
      </c>
    </row>
    <row r="172" spans="1:16">
      <c r="A172" s="2" t="str">
        <f>"20150213"</f>
        <v>20150213</v>
      </c>
      <c r="B172" s="2" t="str">
        <f>"601669"</f>
        <v>601669</v>
      </c>
      <c r="C172" s="2" t="str">
        <f>"中国电建"</f>
        <v>中国电建</v>
      </c>
      <c r="D172" s="2" t="str">
        <f>"融资买入"</f>
        <v>融资买入</v>
      </c>
      <c r="E172" s="2">
        <v>6.83</v>
      </c>
      <c r="F172" s="2">
        <v>1000</v>
      </c>
      <c r="G172" s="2">
        <v>6830</v>
      </c>
      <c r="H172" s="2">
        <v>7.51</v>
      </c>
      <c r="I172" s="2">
        <v>6.89</v>
      </c>
      <c r="J172" s="2">
        <v>0</v>
      </c>
      <c r="K172" s="2">
        <v>0.6</v>
      </c>
      <c r="L172" s="2">
        <v>0</v>
      </c>
      <c r="M172" s="2">
        <v>0</v>
      </c>
      <c r="N172" s="2">
        <v>-6838.11</v>
      </c>
      <c r="O172" s="2">
        <v>-4748.63</v>
      </c>
      <c r="P172" s="2">
        <v>1000</v>
      </c>
    </row>
    <row r="173" spans="1:16">
      <c r="A173" s="2" t="str">
        <f>"20150213"</f>
        <v>20150213</v>
      </c>
      <c r="B173" s="2"/>
      <c r="C173" s="2"/>
      <c r="D173" s="2" t="str">
        <f>"融资借入"</f>
        <v>融资借入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6838.11</v>
      </c>
      <c r="O173" s="2">
        <v>2089.48</v>
      </c>
      <c r="P173" s="2">
        <v>0</v>
      </c>
    </row>
    <row r="174" spans="1:16">
      <c r="A174" s="2" t="str">
        <f t="shared" ref="A174:A178" si="64">"20150216"</f>
        <v>20150216</v>
      </c>
      <c r="B174" s="2" t="str">
        <f>"601669"</f>
        <v>601669</v>
      </c>
      <c r="C174" s="2" t="str">
        <f>"中国电建"</f>
        <v>中国电建</v>
      </c>
      <c r="D174" s="2" t="str">
        <f>"卖券还款"</f>
        <v>卖券还款</v>
      </c>
      <c r="E174" s="2">
        <v>6.73</v>
      </c>
      <c r="F174" s="2">
        <v>1000</v>
      </c>
      <c r="G174" s="2">
        <v>6730</v>
      </c>
      <c r="H174" s="2">
        <v>7.4</v>
      </c>
      <c r="I174" s="2">
        <v>6.8</v>
      </c>
      <c r="J174" s="2">
        <v>6.73</v>
      </c>
      <c r="K174" s="2">
        <v>0.6</v>
      </c>
      <c r="L174" s="2">
        <v>0</v>
      </c>
      <c r="M174" s="2">
        <v>0</v>
      </c>
      <c r="N174" s="2">
        <v>6715.27</v>
      </c>
      <c r="O174" s="2">
        <v>8804.75</v>
      </c>
      <c r="P174" s="2">
        <v>0</v>
      </c>
    </row>
    <row r="175" spans="1:16">
      <c r="A175" s="2" t="str">
        <f t="shared" si="64"/>
        <v>20150216</v>
      </c>
      <c r="B175" s="2"/>
      <c r="C175" s="2"/>
      <c r="D175" s="2" t="str">
        <f>"偿还融资利息"</f>
        <v>偿还融资利息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-6.12</v>
      </c>
      <c r="O175" s="2">
        <v>8798.63</v>
      </c>
      <c r="P175" s="2">
        <v>0</v>
      </c>
    </row>
    <row r="176" spans="1:16">
      <c r="A176" s="2" t="str">
        <f t="shared" si="64"/>
        <v>20150216</v>
      </c>
      <c r="B176" s="2"/>
      <c r="C176" s="2"/>
      <c r="D176" s="2" t="str">
        <f>"偿还融资负债本金"</f>
        <v>偿还融资负债本金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-6407.64</v>
      </c>
      <c r="O176" s="2">
        <v>2390.99</v>
      </c>
      <c r="P176" s="2">
        <v>0</v>
      </c>
    </row>
    <row r="177" spans="1:16">
      <c r="A177" s="2" t="str">
        <f t="shared" si="64"/>
        <v>20150216</v>
      </c>
      <c r="B177" s="2"/>
      <c r="C177" s="2"/>
      <c r="D177" s="2" t="str">
        <f>"偿还融资利息"</f>
        <v>偿还融资利息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-4.9</v>
      </c>
      <c r="O177" s="2">
        <v>2386.09</v>
      </c>
      <c r="P177" s="2">
        <v>0</v>
      </c>
    </row>
    <row r="178" spans="1:16">
      <c r="A178" s="2" t="str">
        <f t="shared" si="64"/>
        <v>20150216</v>
      </c>
      <c r="B178" s="2"/>
      <c r="C178" s="2"/>
      <c r="D178" s="2" t="str">
        <f t="shared" ref="D178:D183" si="65">"偿还融资负债本金"</f>
        <v>偿还融资负债本金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-296.61</v>
      </c>
      <c r="O178" s="2">
        <v>2089.48</v>
      </c>
      <c r="P178" s="2">
        <v>0</v>
      </c>
    </row>
    <row r="179" spans="1:16">
      <c r="A179" s="2" t="str">
        <f t="shared" ref="A179:A183" si="66">"20150217"</f>
        <v>20150217</v>
      </c>
      <c r="B179" s="2" t="str">
        <f>"601179"</f>
        <v>601179</v>
      </c>
      <c r="C179" s="2" t="str">
        <f>"中国西电"</f>
        <v>中国西电</v>
      </c>
      <c r="D179" s="2" t="str">
        <f>"卖券还款"</f>
        <v>卖券还款</v>
      </c>
      <c r="E179" s="2">
        <v>6.54</v>
      </c>
      <c r="F179" s="2">
        <v>1000</v>
      </c>
      <c r="G179" s="2">
        <v>6540</v>
      </c>
      <c r="H179" s="2">
        <v>7.19</v>
      </c>
      <c r="I179" s="2">
        <v>6.61</v>
      </c>
      <c r="J179" s="2">
        <v>6.54</v>
      </c>
      <c r="K179" s="2">
        <v>0.6</v>
      </c>
      <c r="L179" s="2">
        <v>0</v>
      </c>
      <c r="M179" s="2">
        <v>0</v>
      </c>
      <c r="N179" s="2">
        <v>6525.67</v>
      </c>
      <c r="O179" s="2">
        <v>8615.15</v>
      </c>
      <c r="P179" s="2">
        <v>0</v>
      </c>
    </row>
    <row r="180" spans="1:16">
      <c r="A180" s="2" t="str">
        <f t="shared" si="66"/>
        <v>20150217</v>
      </c>
      <c r="B180" s="2" t="str">
        <f>"000541"</f>
        <v>000541</v>
      </c>
      <c r="C180" s="2" t="str">
        <f>"佛山照明"</f>
        <v>佛山照明</v>
      </c>
      <c r="D180" s="2" t="str">
        <f>"卖券还款"</f>
        <v>卖券还款</v>
      </c>
      <c r="E180" s="2">
        <v>11.23</v>
      </c>
      <c r="F180" s="2">
        <v>1000</v>
      </c>
      <c r="G180" s="2">
        <v>11230</v>
      </c>
      <c r="H180" s="2">
        <v>12.35</v>
      </c>
      <c r="I180" s="2">
        <v>11.06</v>
      </c>
      <c r="J180" s="2">
        <v>11.23</v>
      </c>
      <c r="K180" s="2">
        <v>0</v>
      </c>
      <c r="L180" s="2">
        <v>0</v>
      </c>
      <c r="M180" s="2">
        <v>0</v>
      </c>
      <c r="N180" s="2">
        <v>11206.42</v>
      </c>
      <c r="O180" s="2">
        <v>19821.57</v>
      </c>
      <c r="P180" s="2">
        <v>0</v>
      </c>
    </row>
    <row r="181" spans="1:16">
      <c r="A181" s="2" t="str">
        <f t="shared" si="66"/>
        <v>20150217</v>
      </c>
      <c r="B181" s="2"/>
      <c r="C181" s="2"/>
      <c r="D181" s="2" t="str">
        <f>"偿还融资利息"</f>
        <v>偿还融资利息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-1.56</v>
      </c>
      <c r="O181" s="2">
        <v>19820.01</v>
      </c>
      <c r="P181" s="2">
        <v>0</v>
      </c>
    </row>
    <row r="182" spans="1:16">
      <c r="A182" s="2" t="str">
        <f t="shared" si="66"/>
        <v>20150217</v>
      </c>
      <c r="B182" s="2"/>
      <c r="C182" s="2"/>
      <c r="D182" s="2" t="str">
        <f t="shared" si="65"/>
        <v>偿还融资负债本金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-6524.11</v>
      </c>
      <c r="O182" s="2">
        <v>13295.9</v>
      </c>
      <c r="P182" s="2">
        <v>0</v>
      </c>
    </row>
    <row r="183" spans="1:16">
      <c r="A183" s="2" t="str">
        <f t="shared" si="66"/>
        <v>20150217</v>
      </c>
      <c r="B183" s="2"/>
      <c r="C183" s="2"/>
      <c r="D183" s="2" t="str">
        <f t="shared" si="65"/>
        <v>偿还融资负债本金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-17.39</v>
      </c>
      <c r="O183" s="2">
        <v>13278.51</v>
      </c>
      <c r="P183" s="2">
        <v>0</v>
      </c>
    </row>
    <row r="184" spans="1:16">
      <c r="A184" s="2" t="str">
        <f>"20150303"</f>
        <v>20150303</v>
      </c>
      <c r="B184" s="2" t="str">
        <f>"601919"</f>
        <v>601919</v>
      </c>
      <c r="C184" s="2" t="str">
        <f>"中国远洋"</f>
        <v>中国远洋</v>
      </c>
      <c r="D184" s="2" t="str">
        <f t="shared" ref="D184:D188" si="67">"担保品买入"</f>
        <v>担保品买入</v>
      </c>
      <c r="E184" s="2">
        <v>6.28</v>
      </c>
      <c r="F184" s="2">
        <v>1000</v>
      </c>
      <c r="G184" s="2">
        <v>6280</v>
      </c>
      <c r="H184" s="2">
        <v>5</v>
      </c>
      <c r="I184" s="2">
        <v>4.43</v>
      </c>
      <c r="J184" s="2">
        <v>0</v>
      </c>
      <c r="K184" s="2">
        <v>0.6</v>
      </c>
      <c r="L184" s="2">
        <v>0</v>
      </c>
      <c r="M184" s="2">
        <v>0</v>
      </c>
      <c r="N184" s="2">
        <v>-6285.6</v>
      </c>
      <c r="O184" s="2">
        <v>6992.91</v>
      </c>
      <c r="P184" s="2">
        <v>1000</v>
      </c>
    </row>
    <row r="185" spans="1:16">
      <c r="A185" s="2" t="str">
        <f t="shared" ref="A185:A191" si="68">"20150305"</f>
        <v>20150305</v>
      </c>
      <c r="B185" s="2" t="str">
        <f>"600066"</f>
        <v>600066</v>
      </c>
      <c r="C185" s="2" t="str">
        <f>"宇通客车"</f>
        <v>宇通客车</v>
      </c>
      <c r="D185" s="2" t="str">
        <f t="shared" ref="D185:D189" si="69">"担保品卖出"</f>
        <v>担保品卖出</v>
      </c>
      <c r="E185" s="2">
        <v>27.39</v>
      </c>
      <c r="F185" s="2">
        <v>900</v>
      </c>
      <c r="G185" s="2">
        <v>24651</v>
      </c>
      <c r="H185" s="2">
        <v>12.33</v>
      </c>
      <c r="I185" s="2">
        <v>10.13</v>
      </c>
      <c r="J185" s="2">
        <v>24.65</v>
      </c>
      <c r="K185" s="2">
        <v>0.54</v>
      </c>
      <c r="L185" s="2">
        <v>0</v>
      </c>
      <c r="M185" s="2">
        <v>0</v>
      </c>
      <c r="N185" s="2">
        <v>24613.48</v>
      </c>
      <c r="O185" s="2">
        <v>31606.39</v>
      </c>
      <c r="P185" s="2">
        <v>100</v>
      </c>
    </row>
    <row r="186" spans="1:16">
      <c r="A186" s="2" t="str">
        <f t="shared" si="68"/>
        <v>20150305</v>
      </c>
      <c r="B186" s="2" t="str">
        <f t="shared" ref="B186:B190" si="70">"601607"</f>
        <v>601607</v>
      </c>
      <c r="C186" s="2" t="str">
        <f t="shared" ref="C186:C190" si="71">"上海医药"</f>
        <v>上海医药</v>
      </c>
      <c r="D186" s="2" t="str">
        <f t="shared" si="67"/>
        <v>担保品买入</v>
      </c>
      <c r="E186" s="2">
        <v>19.09</v>
      </c>
      <c r="F186" s="2">
        <v>1000</v>
      </c>
      <c r="G186" s="2">
        <v>19090</v>
      </c>
      <c r="H186" s="2">
        <v>9.55</v>
      </c>
      <c r="I186" s="2">
        <v>7.84</v>
      </c>
      <c r="J186" s="2">
        <v>0</v>
      </c>
      <c r="K186" s="2">
        <v>0.6</v>
      </c>
      <c r="L186" s="2">
        <v>0</v>
      </c>
      <c r="M186" s="2">
        <v>0</v>
      </c>
      <c r="N186" s="2">
        <v>-19100.15</v>
      </c>
      <c r="O186" s="2">
        <v>12506.24</v>
      </c>
      <c r="P186" s="2">
        <v>4000</v>
      </c>
    </row>
    <row r="187" spans="1:16">
      <c r="A187" s="2" t="str">
        <f t="shared" si="68"/>
        <v>20150305</v>
      </c>
      <c r="B187" s="2" t="str">
        <f t="shared" si="70"/>
        <v>601607</v>
      </c>
      <c r="C187" s="2" t="str">
        <f t="shared" si="71"/>
        <v>上海医药</v>
      </c>
      <c r="D187" s="2" t="str">
        <f t="shared" si="69"/>
        <v>担保品卖出</v>
      </c>
      <c r="E187" s="2">
        <v>19.59</v>
      </c>
      <c r="F187" s="2">
        <v>1000</v>
      </c>
      <c r="G187" s="2">
        <v>19590</v>
      </c>
      <c r="H187" s="2">
        <v>9.8</v>
      </c>
      <c r="I187" s="2">
        <v>8.05</v>
      </c>
      <c r="J187" s="2">
        <v>19.59</v>
      </c>
      <c r="K187" s="2">
        <v>0.6</v>
      </c>
      <c r="L187" s="2">
        <v>0</v>
      </c>
      <c r="M187" s="2">
        <v>0</v>
      </c>
      <c r="N187" s="2">
        <v>19560.01</v>
      </c>
      <c r="O187" s="2">
        <v>32066.25</v>
      </c>
      <c r="P187" s="2">
        <v>3000</v>
      </c>
    </row>
    <row r="188" spans="1:16">
      <c r="A188" s="2" t="str">
        <f t="shared" si="68"/>
        <v>20150305</v>
      </c>
      <c r="B188" s="2" t="str">
        <f t="shared" si="70"/>
        <v>601607</v>
      </c>
      <c r="C188" s="2" t="str">
        <f t="shared" si="71"/>
        <v>上海医药</v>
      </c>
      <c r="D188" s="2" t="str">
        <f t="shared" si="67"/>
        <v>担保品买入</v>
      </c>
      <c r="E188" s="2">
        <v>19.15</v>
      </c>
      <c r="F188" s="2">
        <v>500</v>
      </c>
      <c r="G188" s="2">
        <v>9575</v>
      </c>
      <c r="H188" s="2">
        <v>5</v>
      </c>
      <c r="I188" s="2">
        <v>4.14</v>
      </c>
      <c r="J188" s="2">
        <v>0</v>
      </c>
      <c r="K188" s="2">
        <v>0.3</v>
      </c>
      <c r="L188" s="2">
        <v>0</v>
      </c>
      <c r="M188" s="2">
        <v>0</v>
      </c>
      <c r="N188" s="2">
        <v>-9580.3</v>
      </c>
      <c r="O188" s="2">
        <v>22485.95</v>
      </c>
      <c r="P188" s="2">
        <v>3500</v>
      </c>
    </row>
    <row r="189" spans="1:16">
      <c r="A189" s="2" t="str">
        <f t="shared" si="68"/>
        <v>20150305</v>
      </c>
      <c r="B189" s="2" t="str">
        <f t="shared" si="70"/>
        <v>601607</v>
      </c>
      <c r="C189" s="2" t="str">
        <f t="shared" si="71"/>
        <v>上海医药</v>
      </c>
      <c r="D189" s="2" t="str">
        <f t="shared" si="69"/>
        <v>担保品卖出</v>
      </c>
      <c r="E189" s="2">
        <v>19.27</v>
      </c>
      <c r="F189" s="2">
        <v>500</v>
      </c>
      <c r="G189" s="2">
        <v>9635</v>
      </c>
      <c r="H189" s="2">
        <v>5</v>
      </c>
      <c r="I189" s="2">
        <v>4.14</v>
      </c>
      <c r="J189" s="2">
        <v>9.64</v>
      </c>
      <c r="K189" s="2">
        <v>0.3</v>
      </c>
      <c r="L189" s="2">
        <v>0</v>
      </c>
      <c r="M189" s="2">
        <v>0</v>
      </c>
      <c r="N189" s="2">
        <v>9620.06</v>
      </c>
      <c r="O189" s="2">
        <v>32106.01</v>
      </c>
      <c r="P189" s="2">
        <v>3000</v>
      </c>
    </row>
    <row r="190" spans="1:16">
      <c r="A190" s="2" t="str">
        <f t="shared" si="68"/>
        <v>20150305</v>
      </c>
      <c r="B190" s="2" t="str">
        <f t="shared" si="70"/>
        <v>601607</v>
      </c>
      <c r="C190" s="2" t="str">
        <f t="shared" si="71"/>
        <v>上海医药</v>
      </c>
      <c r="D190" s="2" t="str">
        <f t="shared" ref="D190:D194" si="72">"担保品买入"</f>
        <v>担保品买入</v>
      </c>
      <c r="E190" s="2">
        <v>19.218</v>
      </c>
      <c r="F190" s="2">
        <v>500</v>
      </c>
      <c r="G190" s="2">
        <v>9609</v>
      </c>
      <c r="H190" s="2">
        <v>5</v>
      </c>
      <c r="I190" s="2">
        <v>4.14</v>
      </c>
      <c r="J190" s="2">
        <v>0</v>
      </c>
      <c r="K190" s="2">
        <v>0.3</v>
      </c>
      <c r="L190" s="2">
        <v>0</v>
      </c>
      <c r="M190" s="2">
        <v>0</v>
      </c>
      <c r="N190" s="2">
        <v>-9614.3</v>
      </c>
      <c r="O190" s="2">
        <v>22491.71</v>
      </c>
      <c r="P190" s="2">
        <v>3500</v>
      </c>
    </row>
    <row r="191" spans="1:16">
      <c r="A191" s="2" t="str">
        <f t="shared" si="68"/>
        <v>20150305</v>
      </c>
      <c r="B191" s="2" t="str">
        <f>"600066"</f>
        <v>600066</v>
      </c>
      <c r="C191" s="2" t="str">
        <f>"宇通客车"</f>
        <v>宇通客车</v>
      </c>
      <c r="D191" s="2" t="str">
        <f t="shared" si="72"/>
        <v>担保品买入</v>
      </c>
      <c r="E191" s="2">
        <v>26.99</v>
      </c>
      <c r="F191" s="2">
        <v>300</v>
      </c>
      <c r="G191" s="2">
        <v>8097</v>
      </c>
      <c r="H191" s="2">
        <v>5</v>
      </c>
      <c r="I191" s="2">
        <v>4.28</v>
      </c>
      <c r="J191" s="2">
        <v>0</v>
      </c>
      <c r="K191" s="2">
        <v>0.18</v>
      </c>
      <c r="L191" s="2">
        <v>0</v>
      </c>
      <c r="M191" s="2">
        <v>0</v>
      </c>
      <c r="N191" s="2">
        <v>-8102.18</v>
      </c>
      <c r="O191" s="2">
        <v>14389.53</v>
      </c>
      <c r="P191" s="2">
        <v>400</v>
      </c>
    </row>
    <row r="192" spans="1:16">
      <c r="A192" s="2" t="str">
        <f t="shared" ref="A192:A194" si="73">"20150306"</f>
        <v>20150306</v>
      </c>
      <c r="B192" s="2" t="str">
        <f t="shared" ref="B192:B196" si="74">"601607"</f>
        <v>601607</v>
      </c>
      <c r="C192" s="2" t="str">
        <f t="shared" ref="C192:C196" si="75">"上海医药"</f>
        <v>上海医药</v>
      </c>
      <c r="D192" s="2" t="str">
        <f>"担保品卖出"</f>
        <v>担保品卖出</v>
      </c>
      <c r="E192" s="2">
        <v>18.88</v>
      </c>
      <c r="F192" s="2">
        <v>500</v>
      </c>
      <c r="G192" s="2">
        <v>9440</v>
      </c>
      <c r="H192" s="2">
        <v>5</v>
      </c>
      <c r="I192" s="2">
        <v>4.15</v>
      </c>
      <c r="J192" s="2">
        <v>9.44</v>
      </c>
      <c r="K192" s="2">
        <v>0.3</v>
      </c>
      <c r="L192" s="2">
        <v>0</v>
      </c>
      <c r="M192" s="2">
        <v>0</v>
      </c>
      <c r="N192" s="2">
        <v>9425.26</v>
      </c>
      <c r="O192" s="2">
        <v>23814.79</v>
      </c>
      <c r="P192" s="2">
        <v>3000</v>
      </c>
    </row>
    <row r="193" spans="1:16">
      <c r="A193" s="2" t="str">
        <f t="shared" si="73"/>
        <v>20150306</v>
      </c>
      <c r="B193" s="2" t="str">
        <f t="shared" si="74"/>
        <v>601607</v>
      </c>
      <c r="C193" s="2" t="str">
        <f t="shared" si="75"/>
        <v>上海医药</v>
      </c>
      <c r="D193" s="2" t="str">
        <f t="shared" si="72"/>
        <v>担保品买入</v>
      </c>
      <c r="E193" s="2">
        <v>18.72</v>
      </c>
      <c r="F193" s="2">
        <v>500</v>
      </c>
      <c r="G193" s="2">
        <v>9360</v>
      </c>
      <c r="H193" s="2">
        <v>5</v>
      </c>
      <c r="I193" s="2">
        <v>4.16</v>
      </c>
      <c r="J193" s="2">
        <v>0</v>
      </c>
      <c r="K193" s="2">
        <v>0.3</v>
      </c>
      <c r="L193" s="2">
        <v>0</v>
      </c>
      <c r="M193" s="2">
        <v>0</v>
      </c>
      <c r="N193" s="2">
        <v>-9365.3</v>
      </c>
      <c r="O193" s="2">
        <v>14449.49</v>
      </c>
      <c r="P193" s="2">
        <v>3500</v>
      </c>
    </row>
    <row r="194" spans="1:16">
      <c r="A194" s="2" t="str">
        <f t="shared" si="73"/>
        <v>20150306</v>
      </c>
      <c r="B194" s="2" t="str">
        <f>"600066"</f>
        <v>600066</v>
      </c>
      <c r="C194" s="2" t="str">
        <f>"宇通客车"</f>
        <v>宇通客车</v>
      </c>
      <c r="D194" s="2" t="str">
        <f t="shared" si="72"/>
        <v>担保品买入</v>
      </c>
      <c r="E194" s="2">
        <v>26.2</v>
      </c>
      <c r="F194" s="2">
        <v>500</v>
      </c>
      <c r="G194" s="2">
        <v>13100</v>
      </c>
      <c r="H194" s="2">
        <v>6.55</v>
      </c>
      <c r="I194" s="2">
        <v>5.38</v>
      </c>
      <c r="J194" s="2">
        <v>0</v>
      </c>
      <c r="K194" s="2">
        <v>0.3</v>
      </c>
      <c r="L194" s="2">
        <v>0</v>
      </c>
      <c r="M194" s="2">
        <v>0</v>
      </c>
      <c r="N194" s="2">
        <v>-13106.85</v>
      </c>
      <c r="O194" s="2">
        <v>1342.64</v>
      </c>
      <c r="P194" s="2">
        <v>900</v>
      </c>
    </row>
    <row r="195" spans="1:16">
      <c r="A195" s="2" t="str">
        <f t="shared" ref="A195:A198" si="76">"20150309"</f>
        <v>20150309</v>
      </c>
      <c r="B195" s="2" t="str">
        <f>"000868"</f>
        <v>000868</v>
      </c>
      <c r="C195" s="2" t="str">
        <f>"安凯客车"</f>
        <v>安凯客车</v>
      </c>
      <c r="D195" s="2" t="str">
        <f>"融资买入"</f>
        <v>融资买入</v>
      </c>
      <c r="E195" s="2">
        <v>6.34</v>
      </c>
      <c r="F195" s="2">
        <v>5000</v>
      </c>
      <c r="G195" s="2">
        <v>31700</v>
      </c>
      <c r="H195" s="2">
        <v>34.87</v>
      </c>
      <c r="I195" s="2">
        <v>31.23</v>
      </c>
      <c r="J195" s="2">
        <v>0</v>
      </c>
      <c r="K195" s="2">
        <v>0</v>
      </c>
      <c r="L195" s="2">
        <v>0</v>
      </c>
      <c r="M195" s="2">
        <v>0</v>
      </c>
      <c r="N195" s="2">
        <v>-31734.87</v>
      </c>
      <c r="O195" s="2">
        <v>-30392.23</v>
      </c>
      <c r="P195" s="2">
        <v>5000</v>
      </c>
    </row>
    <row r="196" spans="1:16">
      <c r="A196" s="2" t="str">
        <f t="shared" si="76"/>
        <v>20150309</v>
      </c>
      <c r="B196" s="2" t="str">
        <f t="shared" si="74"/>
        <v>601607</v>
      </c>
      <c r="C196" s="2" t="str">
        <f t="shared" si="75"/>
        <v>上海医药</v>
      </c>
      <c r="D196" s="2" t="str">
        <f>"担保品卖出"</f>
        <v>担保品卖出</v>
      </c>
      <c r="E196" s="2">
        <v>19.02</v>
      </c>
      <c r="F196" s="2">
        <v>500</v>
      </c>
      <c r="G196" s="2">
        <v>9510</v>
      </c>
      <c r="H196" s="2">
        <v>5</v>
      </c>
      <c r="I196" s="2">
        <v>4.15</v>
      </c>
      <c r="J196" s="2">
        <v>9.51</v>
      </c>
      <c r="K196" s="2">
        <v>0.3</v>
      </c>
      <c r="L196" s="2">
        <v>0</v>
      </c>
      <c r="M196" s="2">
        <v>0</v>
      </c>
      <c r="N196" s="2">
        <v>9495.19</v>
      </c>
      <c r="O196" s="2">
        <v>-20897.04</v>
      </c>
      <c r="P196" s="2">
        <v>3000</v>
      </c>
    </row>
    <row r="197" spans="1:16">
      <c r="A197" s="2" t="str">
        <f t="shared" si="76"/>
        <v>20150309</v>
      </c>
      <c r="B197" s="2" t="str">
        <f>"600066"</f>
        <v>600066</v>
      </c>
      <c r="C197" s="2" t="str">
        <f>"宇通客车"</f>
        <v>宇通客车</v>
      </c>
      <c r="D197" s="2" t="str">
        <f>"担保品买入"</f>
        <v>担保品买入</v>
      </c>
      <c r="E197" s="2">
        <v>26.31</v>
      </c>
      <c r="F197" s="2">
        <v>400</v>
      </c>
      <c r="G197" s="2">
        <v>10524</v>
      </c>
      <c r="H197" s="2">
        <v>5.26</v>
      </c>
      <c r="I197" s="2">
        <v>4.32</v>
      </c>
      <c r="J197" s="2">
        <v>0</v>
      </c>
      <c r="K197" s="2">
        <v>0.24</v>
      </c>
      <c r="L197" s="2">
        <v>0</v>
      </c>
      <c r="M197" s="2">
        <v>0</v>
      </c>
      <c r="N197" s="2">
        <v>-10529.5</v>
      </c>
      <c r="O197" s="2">
        <v>-31426.54</v>
      </c>
      <c r="P197" s="2">
        <v>1300</v>
      </c>
    </row>
    <row r="198" spans="1:16">
      <c r="A198" s="2" t="str">
        <f t="shared" si="76"/>
        <v>20150309</v>
      </c>
      <c r="B198" s="2"/>
      <c r="C198" s="2"/>
      <c r="D198" s="2" t="str">
        <f>"融资借入"</f>
        <v>融资借入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31734.87</v>
      </c>
      <c r="O198" s="2">
        <v>308.33</v>
      </c>
      <c r="P198" s="2">
        <v>0</v>
      </c>
    </row>
    <row r="199" spans="1:16">
      <c r="A199" s="2" t="str">
        <f t="shared" ref="A199:A202" si="77">"20150310"</f>
        <v>20150310</v>
      </c>
      <c r="B199" s="2" t="str">
        <f t="shared" ref="B199:B203" si="78">"601607"</f>
        <v>601607</v>
      </c>
      <c r="C199" s="2" t="str">
        <f t="shared" ref="C199:C203" si="79">"上海医药"</f>
        <v>上海医药</v>
      </c>
      <c r="D199" s="2" t="str">
        <f>"卖券还款"</f>
        <v>卖券还款</v>
      </c>
      <c r="E199" s="2">
        <v>21.01</v>
      </c>
      <c r="F199" s="2">
        <v>500</v>
      </c>
      <c r="G199" s="2">
        <v>10505</v>
      </c>
      <c r="H199" s="2">
        <v>11.56</v>
      </c>
      <c r="I199" s="2">
        <v>10.62</v>
      </c>
      <c r="J199" s="2">
        <v>10.51</v>
      </c>
      <c r="K199" s="2">
        <v>0.3</v>
      </c>
      <c r="L199" s="2">
        <v>0</v>
      </c>
      <c r="M199" s="2">
        <v>0</v>
      </c>
      <c r="N199" s="2">
        <v>10482.63</v>
      </c>
      <c r="O199" s="2">
        <v>10790.96</v>
      </c>
      <c r="P199" s="2">
        <v>2500</v>
      </c>
    </row>
    <row r="200" spans="1:16">
      <c r="A200" s="2" t="str">
        <f t="shared" si="77"/>
        <v>20150310</v>
      </c>
      <c r="B200" s="2" t="str">
        <f t="shared" si="78"/>
        <v>601607</v>
      </c>
      <c r="C200" s="2" t="str">
        <f t="shared" si="79"/>
        <v>上海医药</v>
      </c>
      <c r="D200" s="2" t="str">
        <f t="shared" ref="D200:D204" si="80">"担保品卖出"</f>
        <v>担保品卖出</v>
      </c>
      <c r="E200" s="2">
        <v>20.87</v>
      </c>
      <c r="F200" s="2">
        <v>500</v>
      </c>
      <c r="G200" s="2">
        <v>10435</v>
      </c>
      <c r="H200" s="2">
        <v>5.22</v>
      </c>
      <c r="I200" s="2">
        <v>4.28</v>
      </c>
      <c r="J200" s="2">
        <v>10.44</v>
      </c>
      <c r="K200" s="2">
        <v>0.3</v>
      </c>
      <c r="L200" s="2">
        <v>0</v>
      </c>
      <c r="M200" s="2">
        <v>0</v>
      </c>
      <c r="N200" s="2">
        <v>10419.04</v>
      </c>
      <c r="O200" s="2">
        <v>21210</v>
      </c>
      <c r="P200" s="2">
        <v>2000</v>
      </c>
    </row>
    <row r="201" spans="1:16">
      <c r="A201" s="2" t="str">
        <f t="shared" si="77"/>
        <v>20150310</v>
      </c>
      <c r="B201" s="2"/>
      <c r="C201" s="2"/>
      <c r="D201" s="2" t="str">
        <f>"偿还融资利息"</f>
        <v>偿还融资利息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-7.36</v>
      </c>
      <c r="O201" s="2">
        <v>21202.64</v>
      </c>
      <c r="P201" s="2">
        <v>0</v>
      </c>
    </row>
    <row r="202" spans="1:16">
      <c r="A202" s="2" t="str">
        <f t="shared" si="77"/>
        <v>20150310</v>
      </c>
      <c r="B202" s="2"/>
      <c r="C202" s="2"/>
      <c r="D202" s="2" t="str">
        <f>"偿还融资负债本金"</f>
        <v>偿还融资负债本金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-10475.27</v>
      </c>
      <c r="O202" s="2">
        <v>10727.37</v>
      </c>
      <c r="P202" s="2">
        <v>0</v>
      </c>
    </row>
    <row r="203" spans="1:16">
      <c r="A203" s="2" t="str">
        <f>"20150311"</f>
        <v>20150311</v>
      </c>
      <c r="B203" s="2" t="str">
        <f t="shared" si="78"/>
        <v>601607</v>
      </c>
      <c r="C203" s="2" t="str">
        <f t="shared" si="79"/>
        <v>上海医药</v>
      </c>
      <c r="D203" s="2" t="str">
        <f t="shared" si="80"/>
        <v>担保品卖出</v>
      </c>
      <c r="E203" s="2">
        <v>21.72</v>
      </c>
      <c r="F203" s="2">
        <v>500</v>
      </c>
      <c r="G203" s="2">
        <v>10860</v>
      </c>
      <c r="H203" s="2">
        <v>5.43</v>
      </c>
      <c r="I203" s="2">
        <v>4.45</v>
      </c>
      <c r="J203" s="2">
        <v>10.86</v>
      </c>
      <c r="K203" s="2">
        <v>0.3</v>
      </c>
      <c r="L203" s="2">
        <v>0</v>
      </c>
      <c r="M203" s="2">
        <v>0</v>
      </c>
      <c r="N203" s="2">
        <v>10843.41</v>
      </c>
      <c r="O203" s="2">
        <v>21570.78</v>
      </c>
      <c r="P203" s="2">
        <v>1500</v>
      </c>
    </row>
    <row r="204" spans="1:16">
      <c r="A204" s="2" t="str">
        <f>"20150311"</f>
        <v>20150311</v>
      </c>
      <c r="B204" s="2" t="str">
        <f>"600066"</f>
        <v>600066</v>
      </c>
      <c r="C204" s="2" t="str">
        <f>"宇通客车"</f>
        <v>宇通客车</v>
      </c>
      <c r="D204" s="2" t="str">
        <f t="shared" si="80"/>
        <v>担保品卖出</v>
      </c>
      <c r="E204" s="2">
        <v>27.21</v>
      </c>
      <c r="F204" s="2">
        <v>300</v>
      </c>
      <c r="G204" s="2">
        <v>8163</v>
      </c>
      <c r="H204" s="2">
        <v>5</v>
      </c>
      <c r="I204" s="2">
        <v>4.27</v>
      </c>
      <c r="J204" s="2">
        <v>8.16</v>
      </c>
      <c r="K204" s="2">
        <v>0.18</v>
      </c>
      <c r="L204" s="2">
        <v>0</v>
      </c>
      <c r="M204" s="2">
        <v>0</v>
      </c>
      <c r="N204" s="2">
        <v>8149.66</v>
      </c>
      <c r="O204" s="2">
        <v>29720.44</v>
      </c>
      <c r="P204" s="2">
        <v>1000</v>
      </c>
    </row>
    <row r="205" spans="1:16">
      <c r="A205" s="2" t="str">
        <f>"20150312"</f>
        <v>20150312</v>
      </c>
      <c r="B205" s="2" t="str">
        <f>"601919"</f>
        <v>601919</v>
      </c>
      <c r="C205" s="2" t="str">
        <f>"中国远洋"</f>
        <v>中国远洋</v>
      </c>
      <c r="D205" s="2" t="str">
        <f>"担保品买入"</f>
        <v>担保品买入</v>
      </c>
      <c r="E205" s="2">
        <v>6.31</v>
      </c>
      <c r="F205" s="2">
        <v>2000</v>
      </c>
      <c r="G205" s="2">
        <v>12620</v>
      </c>
      <c r="H205" s="2">
        <v>6.31</v>
      </c>
      <c r="I205" s="2">
        <v>5.18</v>
      </c>
      <c r="J205" s="2">
        <v>0</v>
      </c>
      <c r="K205" s="2">
        <v>1.2</v>
      </c>
      <c r="L205" s="2">
        <v>0</v>
      </c>
      <c r="M205" s="2">
        <v>0</v>
      </c>
      <c r="N205" s="2">
        <v>-12627.51</v>
      </c>
      <c r="O205" s="2">
        <v>17092.93</v>
      </c>
      <c r="P205" s="2">
        <v>3000</v>
      </c>
    </row>
    <row r="206" spans="1:16">
      <c r="A206" s="2" t="str">
        <f>"20150312"</f>
        <v>20150312</v>
      </c>
      <c r="B206" s="2" t="str">
        <f>"600219"</f>
        <v>600219</v>
      </c>
      <c r="C206" s="2" t="str">
        <f>"南山铝业"</f>
        <v>南山铝业</v>
      </c>
      <c r="D206" s="2" t="str">
        <f>"担保品买入"</f>
        <v>担保品买入</v>
      </c>
      <c r="E206" s="2">
        <v>10.61</v>
      </c>
      <c r="F206" s="2">
        <v>1000</v>
      </c>
      <c r="G206" s="2">
        <v>10610</v>
      </c>
      <c r="H206" s="2">
        <v>5.31</v>
      </c>
      <c r="I206" s="2">
        <v>4.36</v>
      </c>
      <c r="J206" s="2">
        <v>0</v>
      </c>
      <c r="K206" s="2">
        <v>0.6</v>
      </c>
      <c r="L206" s="2">
        <v>0</v>
      </c>
      <c r="M206" s="2">
        <v>0</v>
      </c>
      <c r="N206" s="2">
        <v>-10615.91</v>
      </c>
      <c r="O206" s="2">
        <v>6477.02</v>
      </c>
      <c r="P206" s="2">
        <v>2000</v>
      </c>
    </row>
    <row r="207" spans="1:16">
      <c r="A207" s="2" t="str">
        <f t="shared" ref="A207:A210" si="81">"20150313"</f>
        <v>20150313</v>
      </c>
      <c r="B207" s="2" t="str">
        <f>"000868"</f>
        <v>000868</v>
      </c>
      <c r="C207" s="2" t="str">
        <f>"安凯客车"</f>
        <v>安凯客车</v>
      </c>
      <c r="D207" s="2" t="str">
        <f t="shared" ref="D207:D212" si="82">"担保品卖出"</f>
        <v>担保品卖出</v>
      </c>
      <c r="E207" s="2">
        <v>6.5</v>
      </c>
      <c r="F207" s="2">
        <v>5000</v>
      </c>
      <c r="G207" s="2">
        <v>32500</v>
      </c>
      <c r="H207" s="2">
        <v>16.25</v>
      </c>
      <c r="I207" s="2">
        <v>12.51</v>
      </c>
      <c r="J207" s="2">
        <v>32.5</v>
      </c>
      <c r="K207" s="2">
        <v>0</v>
      </c>
      <c r="L207" s="2">
        <v>0</v>
      </c>
      <c r="M207" s="2">
        <v>0</v>
      </c>
      <c r="N207" s="2">
        <v>32451.25</v>
      </c>
      <c r="O207" s="2">
        <v>38928.27</v>
      </c>
      <c r="P207" s="2">
        <v>0</v>
      </c>
    </row>
    <row r="208" spans="1:16">
      <c r="A208" s="2" t="str">
        <f t="shared" si="81"/>
        <v>20150313</v>
      </c>
      <c r="B208" s="2"/>
      <c r="C208" s="2"/>
      <c r="D208" s="2" t="str">
        <f>"偿还融资利息"</f>
        <v>偿还融资利息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-14.79</v>
      </c>
      <c r="O208" s="2">
        <v>38913.48</v>
      </c>
      <c r="P208" s="2">
        <v>0</v>
      </c>
    </row>
    <row r="209" spans="1:16">
      <c r="A209" s="2" t="str">
        <f t="shared" si="81"/>
        <v>20150313</v>
      </c>
      <c r="B209" s="2"/>
      <c r="C209" s="2"/>
      <c r="D209" s="2" t="str">
        <f>"偿还融资负债本金"</f>
        <v>偿还融资负债本金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-11653.2</v>
      </c>
      <c r="O209" s="2">
        <v>27260.28</v>
      </c>
      <c r="P209" s="2">
        <v>0</v>
      </c>
    </row>
    <row r="210" spans="1:16">
      <c r="A210" s="2" t="str">
        <f t="shared" si="81"/>
        <v>20150313</v>
      </c>
      <c r="B210" s="2"/>
      <c r="C210" s="2"/>
      <c r="D210" s="2" t="str">
        <f>"偿还融资负债本金"</f>
        <v>偿还融资负债本金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-9606.4</v>
      </c>
      <c r="O210" s="2">
        <v>17653.88</v>
      </c>
      <c r="P210" s="2">
        <v>0</v>
      </c>
    </row>
    <row r="211" spans="1:16">
      <c r="A211" s="2" t="str">
        <f t="shared" ref="A211:A215" si="83">"20150316"</f>
        <v>20150316</v>
      </c>
      <c r="B211" s="2" t="str">
        <f>"601607"</f>
        <v>601607</v>
      </c>
      <c r="C211" s="2" t="str">
        <f>"上海医药"</f>
        <v>上海医药</v>
      </c>
      <c r="D211" s="2" t="str">
        <f t="shared" si="82"/>
        <v>担保品卖出</v>
      </c>
      <c r="E211" s="2">
        <v>22.91</v>
      </c>
      <c r="F211" s="2">
        <v>500</v>
      </c>
      <c r="G211" s="2">
        <v>11455</v>
      </c>
      <c r="H211" s="2">
        <v>5.73</v>
      </c>
      <c r="I211" s="2">
        <v>4.7</v>
      </c>
      <c r="J211" s="2">
        <v>11.46</v>
      </c>
      <c r="K211" s="2">
        <v>0.3</v>
      </c>
      <c r="L211" s="2">
        <v>0</v>
      </c>
      <c r="M211" s="2">
        <v>0</v>
      </c>
      <c r="N211" s="2">
        <v>11437.51</v>
      </c>
      <c r="O211" s="2">
        <v>29091.39</v>
      </c>
      <c r="P211" s="2">
        <v>1000</v>
      </c>
    </row>
    <row r="212" spans="1:16">
      <c r="A212" s="2" t="str">
        <f t="shared" si="83"/>
        <v>20150316</v>
      </c>
      <c r="B212" s="2" t="str">
        <f>"601919"</f>
        <v>601919</v>
      </c>
      <c r="C212" s="2" t="str">
        <f>"中国远洋"</f>
        <v>中国远洋</v>
      </c>
      <c r="D212" s="2" t="str">
        <f t="shared" si="82"/>
        <v>担保品卖出</v>
      </c>
      <c r="E212" s="2">
        <v>6.53</v>
      </c>
      <c r="F212" s="2">
        <v>2000</v>
      </c>
      <c r="G212" s="2">
        <v>13060</v>
      </c>
      <c r="H212" s="2">
        <v>6.53</v>
      </c>
      <c r="I212" s="2">
        <v>5.36</v>
      </c>
      <c r="J212" s="2">
        <v>13.06</v>
      </c>
      <c r="K212" s="2">
        <v>1.2</v>
      </c>
      <c r="L212" s="2">
        <v>0</v>
      </c>
      <c r="M212" s="2">
        <v>0</v>
      </c>
      <c r="N212" s="2">
        <v>13039.21</v>
      </c>
      <c r="O212" s="2">
        <v>42130.6</v>
      </c>
      <c r="P212" s="2">
        <v>1000</v>
      </c>
    </row>
    <row r="213" spans="1:16">
      <c r="A213" s="2" t="str">
        <f t="shared" si="83"/>
        <v>20150316</v>
      </c>
      <c r="B213" s="2" t="str">
        <f t="shared" ref="B213:B215" si="84">"600066"</f>
        <v>600066</v>
      </c>
      <c r="C213" s="2" t="str">
        <f t="shared" ref="C213:C215" si="85">"宇通客车"</f>
        <v>宇通客车</v>
      </c>
      <c r="D213" s="2" t="str">
        <f>"担保品买入"</f>
        <v>担保品买入</v>
      </c>
      <c r="E213" s="2">
        <v>27.32</v>
      </c>
      <c r="F213" s="2">
        <v>500</v>
      </c>
      <c r="G213" s="2">
        <v>13660</v>
      </c>
      <c r="H213" s="2">
        <v>6.83</v>
      </c>
      <c r="I213" s="2">
        <v>5.61</v>
      </c>
      <c r="J213" s="2">
        <v>0</v>
      </c>
      <c r="K213" s="2">
        <v>0.3</v>
      </c>
      <c r="L213" s="2">
        <v>0</v>
      </c>
      <c r="M213" s="2">
        <v>0</v>
      </c>
      <c r="N213" s="2">
        <v>-13667.13</v>
      </c>
      <c r="O213" s="2">
        <v>28463.47</v>
      </c>
      <c r="P213" s="2">
        <v>1500</v>
      </c>
    </row>
    <row r="214" spans="1:16">
      <c r="A214" s="2" t="str">
        <f t="shared" si="83"/>
        <v>20150316</v>
      </c>
      <c r="B214" s="2" t="str">
        <f t="shared" si="84"/>
        <v>600066</v>
      </c>
      <c r="C214" s="2" t="str">
        <f t="shared" si="85"/>
        <v>宇通客车</v>
      </c>
      <c r="D214" s="2" t="str">
        <f>"担保品卖出"</f>
        <v>担保品卖出</v>
      </c>
      <c r="E214" s="2">
        <v>27.49</v>
      </c>
      <c r="F214" s="2">
        <v>500</v>
      </c>
      <c r="G214" s="2">
        <v>13745</v>
      </c>
      <c r="H214" s="2">
        <v>6.87</v>
      </c>
      <c r="I214" s="2">
        <v>5.64</v>
      </c>
      <c r="J214" s="2">
        <v>13.75</v>
      </c>
      <c r="K214" s="2">
        <v>0.3</v>
      </c>
      <c r="L214" s="2">
        <v>0</v>
      </c>
      <c r="M214" s="2">
        <v>0</v>
      </c>
      <c r="N214" s="2">
        <v>13724.08</v>
      </c>
      <c r="O214" s="2">
        <v>42187.55</v>
      </c>
      <c r="P214" s="2">
        <v>1000</v>
      </c>
    </row>
    <row r="215" spans="1:16">
      <c r="A215" s="2" t="str">
        <f t="shared" si="83"/>
        <v>20150316</v>
      </c>
      <c r="B215" s="2" t="str">
        <f t="shared" si="84"/>
        <v>600066</v>
      </c>
      <c r="C215" s="2" t="str">
        <f t="shared" si="85"/>
        <v>宇通客车</v>
      </c>
      <c r="D215" s="2" t="str">
        <f>"担保品买入"</f>
        <v>担保品买入</v>
      </c>
      <c r="E215" s="2">
        <v>27.87</v>
      </c>
      <c r="F215" s="2">
        <v>1000</v>
      </c>
      <c r="G215" s="2">
        <v>27870</v>
      </c>
      <c r="H215" s="2">
        <v>13.94</v>
      </c>
      <c r="I215" s="2">
        <v>11.44</v>
      </c>
      <c r="J215" s="2">
        <v>0</v>
      </c>
      <c r="K215" s="2">
        <v>0.6</v>
      </c>
      <c r="L215" s="2">
        <v>0</v>
      </c>
      <c r="M215" s="2">
        <v>0</v>
      </c>
      <c r="N215" s="2">
        <v>-27884.54</v>
      </c>
      <c r="O215" s="2">
        <v>14303.01</v>
      </c>
      <c r="P215" s="2">
        <v>2000</v>
      </c>
    </row>
    <row r="216" spans="1:16">
      <c r="A216" s="2" t="str">
        <f>"20150318"</f>
        <v>20150318</v>
      </c>
      <c r="B216" s="2" t="str">
        <f>"600219"</f>
        <v>600219</v>
      </c>
      <c r="C216" s="2" t="str">
        <f>"南山铝业"</f>
        <v>南山铝业</v>
      </c>
      <c r="D216" s="2" t="str">
        <f>"融资买入"</f>
        <v>融资买入</v>
      </c>
      <c r="E216" s="2">
        <v>10.89</v>
      </c>
      <c r="F216" s="2">
        <v>3000</v>
      </c>
      <c r="G216" s="2">
        <v>32670</v>
      </c>
      <c r="H216" s="2">
        <v>35.94</v>
      </c>
      <c r="I216" s="2">
        <v>33.02</v>
      </c>
      <c r="J216" s="2">
        <v>0</v>
      </c>
      <c r="K216" s="2">
        <v>1.8</v>
      </c>
      <c r="L216" s="2">
        <v>0</v>
      </c>
      <c r="M216" s="2">
        <v>0</v>
      </c>
      <c r="N216" s="2">
        <v>-32707.74</v>
      </c>
      <c r="O216" s="2">
        <v>-18404.73</v>
      </c>
      <c r="P216" s="2">
        <v>5000</v>
      </c>
    </row>
    <row r="217" spans="1:16">
      <c r="A217" s="2" t="str">
        <f>"20150318"</f>
        <v>20150318</v>
      </c>
      <c r="B217" s="2"/>
      <c r="C217" s="2"/>
      <c r="D217" s="2" t="str">
        <f>"融资借入"</f>
        <v>融资借入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32707.74</v>
      </c>
      <c r="O217" s="2">
        <v>14303.01</v>
      </c>
      <c r="P217" s="2">
        <v>0</v>
      </c>
    </row>
    <row r="218" spans="1:16">
      <c r="A218" s="2" t="str">
        <f>"20150319"</f>
        <v>20150319</v>
      </c>
      <c r="B218" s="2" t="str">
        <f>"601607"</f>
        <v>601607</v>
      </c>
      <c r="C218" s="2" t="str">
        <f>"上海医药"</f>
        <v>上海医药</v>
      </c>
      <c r="D218" s="2" t="str">
        <f t="shared" ref="D218:D223" si="86">"担保品卖出"</f>
        <v>担保品卖出</v>
      </c>
      <c r="E218" s="2">
        <v>22.44</v>
      </c>
      <c r="F218" s="2">
        <v>1000</v>
      </c>
      <c r="G218" s="2">
        <v>22440</v>
      </c>
      <c r="H218" s="2">
        <v>11.22</v>
      </c>
      <c r="I218" s="2">
        <v>9.21</v>
      </c>
      <c r="J218" s="2">
        <v>22.44</v>
      </c>
      <c r="K218" s="2">
        <v>0.6</v>
      </c>
      <c r="L218" s="2">
        <v>0</v>
      </c>
      <c r="M218" s="2">
        <v>0</v>
      </c>
      <c r="N218" s="2">
        <v>22405.74</v>
      </c>
      <c r="O218" s="2">
        <v>36708.75</v>
      </c>
      <c r="P218" s="2">
        <v>0</v>
      </c>
    </row>
    <row r="219" spans="1:16">
      <c r="A219" s="2" t="str">
        <f>"20150319"</f>
        <v>20150319</v>
      </c>
      <c r="B219" s="2" t="str">
        <f t="shared" ref="B219:B224" si="87">"600066"</f>
        <v>600066</v>
      </c>
      <c r="C219" s="2" t="str">
        <f t="shared" ref="C219:C224" si="88">"宇通客车"</f>
        <v>宇通客车</v>
      </c>
      <c r="D219" s="2" t="str">
        <f>"担保品买入"</f>
        <v>担保品买入</v>
      </c>
      <c r="E219" s="2">
        <v>28.53</v>
      </c>
      <c r="F219" s="2">
        <v>1000</v>
      </c>
      <c r="G219" s="2">
        <v>28530</v>
      </c>
      <c r="H219" s="2">
        <v>14.27</v>
      </c>
      <c r="I219" s="2">
        <v>11.71</v>
      </c>
      <c r="J219" s="2">
        <v>0</v>
      </c>
      <c r="K219" s="2">
        <v>0.6</v>
      </c>
      <c r="L219" s="2">
        <v>0</v>
      </c>
      <c r="M219" s="2">
        <v>0</v>
      </c>
      <c r="N219" s="2">
        <v>-28544.87</v>
      </c>
      <c r="O219" s="2">
        <v>8163.88</v>
      </c>
      <c r="P219" s="2">
        <v>3000</v>
      </c>
    </row>
    <row r="220" spans="1:16">
      <c r="A220" s="2" t="str">
        <f t="shared" ref="A220:A226" si="89">"20150320"</f>
        <v>20150320</v>
      </c>
      <c r="B220" s="2"/>
      <c r="C220" s="2"/>
      <c r="D220" s="2" t="str">
        <f>"利息归本"</f>
        <v>利息归本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5.72</v>
      </c>
      <c r="O220" s="2">
        <v>8169.6</v>
      </c>
      <c r="P220" s="2">
        <v>0</v>
      </c>
    </row>
    <row r="221" spans="1:16">
      <c r="A221" s="2" t="str">
        <f t="shared" si="89"/>
        <v>20150320</v>
      </c>
      <c r="B221" s="2" t="str">
        <f t="shared" si="87"/>
        <v>600066</v>
      </c>
      <c r="C221" s="2" t="str">
        <f t="shared" si="88"/>
        <v>宇通客车</v>
      </c>
      <c r="D221" s="2" t="str">
        <f t="shared" si="86"/>
        <v>担保品卖出</v>
      </c>
      <c r="E221" s="2">
        <v>28.75</v>
      </c>
      <c r="F221" s="2">
        <v>1000</v>
      </c>
      <c r="G221" s="2">
        <v>28750</v>
      </c>
      <c r="H221" s="2">
        <v>14.38</v>
      </c>
      <c r="I221" s="2">
        <v>11.8</v>
      </c>
      <c r="J221" s="2">
        <v>28.75</v>
      </c>
      <c r="K221" s="2">
        <v>0.6</v>
      </c>
      <c r="L221" s="2">
        <v>0</v>
      </c>
      <c r="M221" s="2">
        <v>0</v>
      </c>
      <c r="N221" s="2">
        <v>28706.27</v>
      </c>
      <c r="O221" s="2">
        <v>36875.87</v>
      </c>
      <c r="P221" s="2">
        <v>2000</v>
      </c>
    </row>
    <row r="222" spans="1:16">
      <c r="A222" s="2" t="str">
        <f t="shared" si="89"/>
        <v>20150320</v>
      </c>
      <c r="B222" s="2" t="str">
        <f>"601919"</f>
        <v>601919</v>
      </c>
      <c r="C222" s="2" t="str">
        <f>"中国远洋"</f>
        <v>中国远洋</v>
      </c>
      <c r="D222" s="2" t="str">
        <f t="shared" si="86"/>
        <v>担保品卖出</v>
      </c>
      <c r="E222" s="2">
        <v>7.15</v>
      </c>
      <c r="F222" s="2">
        <v>1000</v>
      </c>
      <c r="G222" s="2">
        <v>7150</v>
      </c>
      <c r="H222" s="2">
        <v>5</v>
      </c>
      <c r="I222" s="2">
        <v>4.36</v>
      </c>
      <c r="J222" s="2">
        <v>7.15</v>
      </c>
      <c r="K222" s="2">
        <v>0.6</v>
      </c>
      <c r="L222" s="2">
        <v>0</v>
      </c>
      <c r="M222" s="2">
        <v>0</v>
      </c>
      <c r="N222" s="2">
        <v>7137.25</v>
      </c>
      <c r="O222" s="2">
        <v>44013.12</v>
      </c>
      <c r="P222" s="2">
        <v>0</v>
      </c>
    </row>
    <row r="223" spans="1:16">
      <c r="A223" s="2" t="str">
        <f t="shared" si="89"/>
        <v>20150320</v>
      </c>
      <c r="B223" s="2" t="str">
        <f t="shared" si="87"/>
        <v>600066</v>
      </c>
      <c r="C223" s="2" t="str">
        <f t="shared" si="88"/>
        <v>宇通客车</v>
      </c>
      <c r="D223" s="2" t="str">
        <f t="shared" si="86"/>
        <v>担保品卖出</v>
      </c>
      <c r="E223" s="2">
        <v>28.52</v>
      </c>
      <c r="F223" s="2">
        <v>1000</v>
      </c>
      <c r="G223" s="2">
        <v>28520</v>
      </c>
      <c r="H223" s="2">
        <v>14.26</v>
      </c>
      <c r="I223" s="2">
        <v>11.71</v>
      </c>
      <c r="J223" s="2">
        <v>28.52</v>
      </c>
      <c r="K223" s="2">
        <v>0.6</v>
      </c>
      <c r="L223" s="2">
        <v>0</v>
      </c>
      <c r="M223" s="2">
        <v>0</v>
      </c>
      <c r="N223" s="2">
        <v>28476.62</v>
      </c>
      <c r="O223" s="2">
        <v>72489.74</v>
      </c>
      <c r="P223" s="2">
        <v>1000</v>
      </c>
    </row>
    <row r="224" spans="1:16">
      <c r="A224" s="2" t="str">
        <f t="shared" si="89"/>
        <v>20150320</v>
      </c>
      <c r="B224" s="2" t="str">
        <f t="shared" si="87"/>
        <v>600066</v>
      </c>
      <c r="C224" s="2" t="str">
        <f t="shared" si="88"/>
        <v>宇通客车</v>
      </c>
      <c r="D224" s="2" t="str">
        <f t="shared" ref="D224:D229" si="90">"担保品买入"</f>
        <v>担保品买入</v>
      </c>
      <c r="E224" s="2">
        <v>28.52</v>
      </c>
      <c r="F224" s="2">
        <v>1000</v>
      </c>
      <c r="G224" s="2">
        <v>28520</v>
      </c>
      <c r="H224" s="2">
        <v>14.26</v>
      </c>
      <c r="I224" s="2">
        <v>11.71</v>
      </c>
      <c r="J224" s="2">
        <v>0</v>
      </c>
      <c r="K224" s="2">
        <v>0.6</v>
      </c>
      <c r="L224" s="2">
        <v>0</v>
      </c>
      <c r="M224" s="2">
        <v>0</v>
      </c>
      <c r="N224" s="2">
        <v>-28534.86</v>
      </c>
      <c r="O224" s="2">
        <v>43954.88</v>
      </c>
      <c r="P224" s="2">
        <v>2000</v>
      </c>
    </row>
    <row r="225" spans="1:16">
      <c r="A225" s="2" t="str">
        <f t="shared" si="89"/>
        <v>20150320</v>
      </c>
      <c r="B225" s="2"/>
      <c r="C225" s="2"/>
      <c r="D225" s="2" t="str">
        <f>"偿还融资利息"</f>
        <v>偿还融资利息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-15.18</v>
      </c>
      <c r="O225" s="2">
        <v>43939.7</v>
      </c>
      <c r="P225" s="2">
        <v>0</v>
      </c>
    </row>
    <row r="226" spans="1:16">
      <c r="A226" s="2" t="str">
        <f t="shared" si="89"/>
        <v>20150320</v>
      </c>
      <c r="B226" s="2"/>
      <c r="C226" s="2"/>
      <c r="D226" s="2" t="str">
        <f>"偿还融资负债本金"</f>
        <v>偿还融资负债本金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-32707.74</v>
      </c>
      <c r="O226" s="2">
        <v>11231.96</v>
      </c>
      <c r="P226" s="2">
        <v>0</v>
      </c>
    </row>
    <row r="227" spans="1:16">
      <c r="A227" s="2" t="str">
        <f>"20150401"</f>
        <v>20150401</v>
      </c>
      <c r="B227" s="2" t="str">
        <f>"600066"</f>
        <v>600066</v>
      </c>
      <c r="C227" s="2" t="str">
        <f>"宇通客车"</f>
        <v>宇通客车</v>
      </c>
      <c r="D227" s="2" t="str">
        <f>"担保品卖出"</f>
        <v>担保品卖出</v>
      </c>
      <c r="E227" s="2">
        <v>31.2</v>
      </c>
      <c r="F227" s="2">
        <v>500</v>
      </c>
      <c r="G227" s="2">
        <v>15600</v>
      </c>
      <c r="H227" s="2">
        <v>7.8</v>
      </c>
      <c r="I227" s="2">
        <v>6.42</v>
      </c>
      <c r="J227" s="2">
        <v>15.6</v>
      </c>
      <c r="K227" s="2">
        <v>0.3</v>
      </c>
      <c r="L227" s="2">
        <v>0</v>
      </c>
      <c r="M227" s="2">
        <v>0</v>
      </c>
      <c r="N227" s="2">
        <v>15576.3</v>
      </c>
      <c r="O227" s="2">
        <v>26808.26</v>
      </c>
      <c r="P227" s="2">
        <v>1500</v>
      </c>
    </row>
    <row r="228" spans="1:16">
      <c r="A228" s="2" t="str">
        <f>"20150401"</f>
        <v>20150401</v>
      </c>
      <c r="B228" s="2" t="str">
        <f>"600219"</f>
        <v>600219</v>
      </c>
      <c r="C228" s="2" t="str">
        <f>"南山铝业"</f>
        <v>南山铝业</v>
      </c>
      <c r="D228" s="2" t="str">
        <f t="shared" si="90"/>
        <v>担保品买入</v>
      </c>
      <c r="E228" s="2">
        <v>11.05</v>
      </c>
      <c r="F228" s="2">
        <v>2000</v>
      </c>
      <c r="G228" s="2">
        <v>22100</v>
      </c>
      <c r="H228" s="2">
        <v>11.05</v>
      </c>
      <c r="I228" s="2">
        <v>9.07</v>
      </c>
      <c r="J228" s="2">
        <v>0</v>
      </c>
      <c r="K228" s="2">
        <v>1.2</v>
      </c>
      <c r="L228" s="2">
        <v>0</v>
      </c>
      <c r="M228" s="2">
        <v>0</v>
      </c>
      <c r="N228" s="2">
        <v>-22112.25</v>
      </c>
      <c r="O228" s="2">
        <v>4696.01</v>
      </c>
      <c r="P228" s="2">
        <v>7000</v>
      </c>
    </row>
    <row r="229" spans="1:16">
      <c r="A229" s="2" t="str">
        <f>"20150403"</f>
        <v>20150403</v>
      </c>
      <c r="B229" s="2" t="str">
        <f>"600219"</f>
        <v>600219</v>
      </c>
      <c r="C229" s="2" t="str">
        <f>"南山铝业"</f>
        <v>南山铝业</v>
      </c>
      <c r="D229" s="2" t="str">
        <f t="shared" si="90"/>
        <v>担保品买入</v>
      </c>
      <c r="E229" s="2">
        <v>11.29</v>
      </c>
      <c r="F229" s="2">
        <v>400</v>
      </c>
      <c r="G229" s="2">
        <v>4516</v>
      </c>
      <c r="H229" s="2">
        <v>5</v>
      </c>
      <c r="I229" s="2">
        <v>4.6</v>
      </c>
      <c r="J229" s="2">
        <v>0</v>
      </c>
      <c r="K229" s="2">
        <v>0.24</v>
      </c>
      <c r="L229" s="2">
        <v>0</v>
      </c>
      <c r="M229" s="2">
        <v>0</v>
      </c>
      <c r="N229" s="2">
        <v>-4521.24</v>
      </c>
      <c r="O229" s="2">
        <v>174.77</v>
      </c>
      <c r="P229" s="2">
        <v>7400</v>
      </c>
    </row>
    <row r="230" spans="1:16">
      <c r="A230" s="2" t="str">
        <f>"20150428"</f>
        <v>20150428</v>
      </c>
      <c r="B230" s="2" t="str">
        <f>"161024"</f>
        <v>161024</v>
      </c>
      <c r="C230" s="2" t="str">
        <f>"军工分级"</f>
        <v>军工分级</v>
      </c>
      <c r="D230" s="2" t="str">
        <f>"证券分拆记增/基"</f>
        <v>证券分拆记增/基</v>
      </c>
      <c r="E230" s="2">
        <v>0</v>
      </c>
      <c r="F230" s="2">
        <v>1482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174.77</v>
      </c>
      <c r="P230" s="2">
        <v>1482</v>
      </c>
    </row>
    <row r="231" spans="1:16">
      <c r="A231" s="2" t="str">
        <f>"20150430"</f>
        <v>20150430</v>
      </c>
      <c r="B231" s="2" t="str">
        <f>"161024"</f>
        <v>161024</v>
      </c>
      <c r="C231" s="2" t="str">
        <f>"军工分级"</f>
        <v>军工分级</v>
      </c>
      <c r="D231" s="2" t="str">
        <f>"担保物转出"</f>
        <v>担保物转出</v>
      </c>
      <c r="E231" s="2">
        <v>1</v>
      </c>
      <c r="F231" s="2">
        <v>1482</v>
      </c>
      <c r="G231" s="2">
        <v>1482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174.77</v>
      </c>
      <c r="P231" s="2">
        <v>0</v>
      </c>
    </row>
    <row r="232" spans="1:16">
      <c r="A232" s="2" t="str">
        <f>"20150519"</f>
        <v>20150519</v>
      </c>
      <c r="B232" s="2" t="str">
        <f t="shared" ref="B232:B236" si="91">"600066"</f>
        <v>600066</v>
      </c>
      <c r="C232" s="2" t="str">
        <f>"宇通客车"</f>
        <v>宇通客车</v>
      </c>
      <c r="D232" s="2" t="str">
        <f>"红利入账"</f>
        <v>红利入账</v>
      </c>
      <c r="E232" s="2">
        <v>0</v>
      </c>
      <c r="F232" s="2">
        <v>1500</v>
      </c>
      <c r="G232" s="2">
        <v>1425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1425</v>
      </c>
      <c r="O232" s="2">
        <v>1599.77</v>
      </c>
      <c r="P232" s="2">
        <v>0</v>
      </c>
    </row>
    <row r="233" spans="1:16">
      <c r="A233" s="2" t="str">
        <f t="shared" ref="A233:A235" si="92">"20150520"</f>
        <v>20150520</v>
      </c>
      <c r="B233" s="2" t="str">
        <f t="shared" si="91"/>
        <v>600066</v>
      </c>
      <c r="C233" s="2" t="str">
        <f>"DR宇通客"</f>
        <v>DR宇通客</v>
      </c>
      <c r="D233" s="2" t="str">
        <f>"红股入账"</f>
        <v>红股入账</v>
      </c>
      <c r="E233" s="2">
        <v>0</v>
      </c>
      <c r="F233" s="2">
        <v>750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1599.77</v>
      </c>
      <c r="P233" s="2">
        <v>2250</v>
      </c>
    </row>
    <row r="234" spans="1:16">
      <c r="A234" s="2" t="str">
        <f t="shared" si="92"/>
        <v>20150520</v>
      </c>
      <c r="B234" s="2" t="str">
        <f>"600219"</f>
        <v>600219</v>
      </c>
      <c r="C234" s="2" t="str">
        <f>"南山铝业"</f>
        <v>南山铝业</v>
      </c>
      <c r="D234" s="2" t="str">
        <f>"融资买入"</f>
        <v>融资买入</v>
      </c>
      <c r="E234" s="2">
        <v>11.36</v>
      </c>
      <c r="F234" s="2">
        <v>5000</v>
      </c>
      <c r="G234" s="2">
        <v>56800</v>
      </c>
      <c r="H234" s="2">
        <v>62.48</v>
      </c>
      <c r="I234" s="2">
        <v>57.39</v>
      </c>
      <c r="J234" s="2">
        <v>0</v>
      </c>
      <c r="K234" s="2">
        <v>3</v>
      </c>
      <c r="L234" s="2">
        <v>0</v>
      </c>
      <c r="M234" s="2">
        <v>0</v>
      </c>
      <c r="N234" s="2">
        <v>-56865.48</v>
      </c>
      <c r="O234" s="2">
        <v>-55265.71</v>
      </c>
      <c r="P234" s="2">
        <v>12400</v>
      </c>
    </row>
    <row r="235" spans="1:16">
      <c r="A235" s="2" t="str">
        <f t="shared" si="92"/>
        <v>20150520</v>
      </c>
      <c r="B235" s="2"/>
      <c r="C235" s="2"/>
      <c r="D235" s="2" t="str">
        <f>"融资借入"</f>
        <v>融资借入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56865.48</v>
      </c>
      <c r="O235" s="2">
        <v>1599.77</v>
      </c>
      <c r="P235" s="2">
        <v>0</v>
      </c>
    </row>
    <row r="236" spans="1:16">
      <c r="A236" s="2" t="str">
        <f t="shared" ref="A236:A240" si="93">"20150527"</f>
        <v>20150527</v>
      </c>
      <c r="B236" s="2" t="str">
        <f t="shared" si="91"/>
        <v>600066</v>
      </c>
      <c r="C236" s="2" t="str">
        <f>"宇通客车"</f>
        <v>宇通客车</v>
      </c>
      <c r="D236" s="2" t="str">
        <f>"担保品卖出"</f>
        <v>担保品卖出</v>
      </c>
      <c r="E236" s="2">
        <v>24</v>
      </c>
      <c r="F236" s="2">
        <v>750</v>
      </c>
      <c r="G236" s="2">
        <v>18000</v>
      </c>
      <c r="H236" s="2">
        <v>9</v>
      </c>
      <c r="I236" s="2">
        <v>7.39</v>
      </c>
      <c r="J236" s="2">
        <v>18</v>
      </c>
      <c r="K236" s="2">
        <v>0.45</v>
      </c>
      <c r="L236" s="2">
        <v>0</v>
      </c>
      <c r="M236" s="2">
        <v>0</v>
      </c>
      <c r="N236" s="2">
        <v>17972.55</v>
      </c>
      <c r="O236" s="2">
        <v>19572.32</v>
      </c>
      <c r="P236" s="2">
        <v>1500</v>
      </c>
    </row>
    <row r="237" spans="1:16">
      <c r="A237" s="2" t="str">
        <f t="shared" si="93"/>
        <v>20150527</v>
      </c>
      <c r="B237" s="2" t="str">
        <f>"600219"</f>
        <v>600219</v>
      </c>
      <c r="C237" s="2" t="str">
        <f>"南山铝业"</f>
        <v>南山铝业</v>
      </c>
      <c r="D237" s="2" t="str">
        <f>"担保品卖出"</f>
        <v>担保品卖出</v>
      </c>
      <c r="E237" s="2">
        <v>12.42</v>
      </c>
      <c r="F237" s="2">
        <v>5000</v>
      </c>
      <c r="G237" s="2">
        <v>62100</v>
      </c>
      <c r="H237" s="2">
        <v>31.05</v>
      </c>
      <c r="I237" s="2">
        <v>25.49</v>
      </c>
      <c r="J237" s="2">
        <v>62.1</v>
      </c>
      <c r="K237" s="2">
        <v>3</v>
      </c>
      <c r="L237" s="2">
        <v>0</v>
      </c>
      <c r="M237" s="2">
        <v>0</v>
      </c>
      <c r="N237" s="2">
        <v>62003.85</v>
      </c>
      <c r="O237" s="2">
        <v>81576.17</v>
      </c>
      <c r="P237" s="2">
        <v>7400</v>
      </c>
    </row>
    <row r="238" spans="1:16">
      <c r="A238" s="2" t="str">
        <f t="shared" si="93"/>
        <v>20150527</v>
      </c>
      <c r="B238" s="2" t="str">
        <f>"150181"</f>
        <v>150181</v>
      </c>
      <c r="C238" s="2" t="str">
        <f>"军工A"</f>
        <v>军工A</v>
      </c>
      <c r="D238" s="2" t="str">
        <f>"担保品买入"</f>
        <v>担保品买入</v>
      </c>
      <c r="E238" s="2">
        <v>0.816</v>
      </c>
      <c r="F238" s="2">
        <v>10000</v>
      </c>
      <c r="G238" s="2">
        <v>8160</v>
      </c>
      <c r="H238" s="2">
        <v>5</v>
      </c>
      <c r="I238" s="2">
        <v>4.2</v>
      </c>
      <c r="J238" s="2">
        <v>0</v>
      </c>
      <c r="K238" s="2">
        <v>0</v>
      </c>
      <c r="L238" s="2">
        <v>0</v>
      </c>
      <c r="M238" s="2">
        <v>0</v>
      </c>
      <c r="N238" s="2">
        <v>-8165</v>
      </c>
      <c r="O238" s="2">
        <v>73411.17</v>
      </c>
      <c r="P238" s="2">
        <v>81634</v>
      </c>
    </row>
    <row r="239" spans="1:16">
      <c r="A239" s="2" t="str">
        <f t="shared" si="93"/>
        <v>20150527</v>
      </c>
      <c r="B239" s="2"/>
      <c r="C239" s="2"/>
      <c r="D239" s="2" t="str">
        <f>"偿还融资利息"</f>
        <v>偿还融资利息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-92.33</v>
      </c>
      <c r="O239" s="2">
        <v>73318.84</v>
      </c>
      <c r="P239" s="2">
        <v>0</v>
      </c>
    </row>
    <row r="240" spans="1:16">
      <c r="A240" s="2" t="str">
        <f t="shared" si="93"/>
        <v>20150527</v>
      </c>
      <c r="B240" s="2"/>
      <c r="C240" s="2"/>
      <c r="D240" s="2" t="str">
        <f>"偿还融资负债本金"</f>
        <v>偿还融资负债本金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-56865.48</v>
      </c>
      <c r="O240" s="2">
        <v>16453.36</v>
      </c>
      <c r="P240" s="2">
        <v>0</v>
      </c>
    </row>
    <row r="241" spans="1:16">
      <c r="A241" s="2" t="str">
        <f>"20150528"</f>
        <v>20150528</v>
      </c>
      <c r="B241" s="2" t="str">
        <f>"600066"</f>
        <v>600066</v>
      </c>
      <c r="C241" s="2" t="str">
        <f>"宇通客车"</f>
        <v>宇通客车</v>
      </c>
      <c r="D241" s="2" t="str">
        <f>"股息红利差异扣税"</f>
        <v>股息红利差异扣税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-25</v>
      </c>
      <c r="O241" s="2">
        <v>16428.36</v>
      </c>
      <c r="P241" s="2">
        <v>0</v>
      </c>
    </row>
    <row r="242" spans="1:16">
      <c r="A242" s="2" t="str">
        <f>"20150528"</f>
        <v>20150528</v>
      </c>
      <c r="B242" s="2" t="str">
        <f>"600066"</f>
        <v>600066</v>
      </c>
      <c r="C242" s="2" t="str">
        <f>"宇通客车"</f>
        <v>宇通客车</v>
      </c>
      <c r="D242" s="2" t="str">
        <f>"股息红利差异扣税"</f>
        <v>股息红利差异扣税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-12.5</v>
      </c>
      <c r="O242" s="2">
        <v>16415.86</v>
      </c>
      <c r="P242" s="2">
        <v>0</v>
      </c>
    </row>
    <row r="243" spans="1:16">
      <c r="A243" s="2" t="str">
        <f>"20150529"</f>
        <v>20150529</v>
      </c>
      <c r="B243" s="2" t="str">
        <f>"150181"</f>
        <v>150181</v>
      </c>
      <c r="C243" s="2" t="str">
        <f>"军工A"</f>
        <v>军工A</v>
      </c>
      <c r="D243" s="2" t="str">
        <f>"担保品买入"</f>
        <v>担保品买入</v>
      </c>
      <c r="E243" s="2">
        <v>0.799</v>
      </c>
      <c r="F243" s="2">
        <v>10000</v>
      </c>
      <c r="G243" s="2">
        <v>7990</v>
      </c>
      <c r="H243" s="2">
        <v>5</v>
      </c>
      <c r="I243" s="2">
        <v>4.22</v>
      </c>
      <c r="J243" s="2">
        <v>0</v>
      </c>
      <c r="K243" s="2">
        <v>0</v>
      </c>
      <c r="L243" s="2">
        <v>0</v>
      </c>
      <c r="M243" s="2">
        <v>0</v>
      </c>
      <c r="N243" s="2">
        <v>-7995</v>
      </c>
      <c r="O243" s="2">
        <v>8420.86</v>
      </c>
      <c r="P243" s="2">
        <v>91634</v>
      </c>
    </row>
    <row r="244" spans="1:16">
      <c r="A244" s="2" t="str">
        <f>"20150601"</f>
        <v>20150601</v>
      </c>
      <c r="B244" s="2" t="str">
        <f t="shared" ref="B244:B247" si="94">"600219"</f>
        <v>600219</v>
      </c>
      <c r="C244" s="2" t="str">
        <f t="shared" ref="C244:C247" si="95">"南山铝业"</f>
        <v>南山铝业</v>
      </c>
      <c r="D244" s="2" t="str">
        <f>"融资买入"</f>
        <v>融资买入</v>
      </c>
      <c r="E244" s="2">
        <v>11.74</v>
      </c>
      <c r="F244" s="2">
        <v>2000</v>
      </c>
      <c r="G244" s="2">
        <v>23480</v>
      </c>
      <c r="H244" s="2">
        <v>25.83</v>
      </c>
      <c r="I244" s="2">
        <v>23.72</v>
      </c>
      <c r="J244" s="2">
        <v>0</v>
      </c>
      <c r="K244" s="2">
        <v>1.2</v>
      </c>
      <c r="L244" s="2">
        <v>0</v>
      </c>
      <c r="M244" s="2">
        <v>0</v>
      </c>
      <c r="N244" s="2">
        <v>-23507.03</v>
      </c>
      <c r="O244" s="2">
        <v>-15086.17</v>
      </c>
      <c r="P244" s="2">
        <v>9400</v>
      </c>
    </row>
    <row r="245" spans="1:16">
      <c r="A245" s="2" t="str">
        <f>"20150601"</f>
        <v>20150601</v>
      </c>
      <c r="B245" s="2"/>
      <c r="C245" s="2"/>
      <c r="D245" s="2" t="str">
        <f>"融资借入"</f>
        <v>融资借入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23507.03</v>
      </c>
      <c r="O245" s="2">
        <v>8420.86</v>
      </c>
      <c r="P245" s="2">
        <v>0</v>
      </c>
    </row>
    <row r="246" spans="1:16">
      <c r="A246" s="2" t="str">
        <f t="shared" ref="A246:A252" si="96">"20150602"</f>
        <v>20150602</v>
      </c>
      <c r="B246" s="2" t="str">
        <f t="shared" si="94"/>
        <v>600219</v>
      </c>
      <c r="C246" s="2" t="str">
        <f t="shared" si="95"/>
        <v>南山铝业</v>
      </c>
      <c r="D246" s="2" t="str">
        <f>"担保品卖出"</f>
        <v>担保品卖出</v>
      </c>
      <c r="E246" s="2">
        <v>12.13</v>
      </c>
      <c r="F246" s="2">
        <v>2000</v>
      </c>
      <c r="G246" s="2">
        <v>24260</v>
      </c>
      <c r="H246" s="2">
        <v>12.13</v>
      </c>
      <c r="I246" s="2">
        <v>9.97</v>
      </c>
      <c r="J246" s="2">
        <v>24.26</v>
      </c>
      <c r="K246" s="2">
        <v>1.2</v>
      </c>
      <c r="L246" s="2">
        <v>0</v>
      </c>
      <c r="M246" s="2">
        <v>0</v>
      </c>
      <c r="N246" s="2">
        <v>24222.41</v>
      </c>
      <c r="O246" s="2">
        <v>32643.27</v>
      </c>
      <c r="P246" s="2">
        <v>7400</v>
      </c>
    </row>
    <row r="247" spans="1:16">
      <c r="A247" s="2" t="str">
        <f t="shared" si="96"/>
        <v>20150602</v>
      </c>
      <c r="B247" s="2" t="str">
        <f t="shared" si="94"/>
        <v>600219</v>
      </c>
      <c r="C247" s="2" t="str">
        <f t="shared" si="95"/>
        <v>南山铝业</v>
      </c>
      <c r="D247" s="2" t="str">
        <f>"融资买入"</f>
        <v>融资买入</v>
      </c>
      <c r="E247" s="2">
        <v>12.28</v>
      </c>
      <c r="F247" s="2">
        <v>5000</v>
      </c>
      <c r="G247" s="2">
        <v>61400</v>
      </c>
      <c r="H247" s="2">
        <v>67.54</v>
      </c>
      <c r="I247" s="2">
        <v>62.04</v>
      </c>
      <c r="J247" s="2">
        <v>0</v>
      </c>
      <c r="K247" s="2">
        <v>3</v>
      </c>
      <c r="L247" s="2">
        <v>0</v>
      </c>
      <c r="M247" s="2">
        <v>0</v>
      </c>
      <c r="N247" s="2">
        <v>-61470.54</v>
      </c>
      <c r="O247" s="2">
        <v>-28827.27</v>
      </c>
      <c r="P247" s="2">
        <v>12400</v>
      </c>
    </row>
    <row r="248" spans="1:16">
      <c r="A248" s="2" t="str">
        <f t="shared" si="96"/>
        <v>20150602</v>
      </c>
      <c r="B248" s="2"/>
      <c r="C248" s="2"/>
      <c r="D248" s="2" t="str">
        <f>"融资借入"</f>
        <v>融资借入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61470.54</v>
      </c>
      <c r="O248" s="2">
        <v>32643.27</v>
      </c>
      <c r="P248" s="2">
        <v>0</v>
      </c>
    </row>
    <row r="249" spans="1:16">
      <c r="A249" s="2" t="str">
        <f t="shared" si="96"/>
        <v>20150602</v>
      </c>
      <c r="B249" s="2"/>
      <c r="C249" s="2"/>
      <c r="D249" s="2" t="str">
        <f>"偿还融资利息"</f>
        <v>偿还融资利息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-5.45</v>
      </c>
      <c r="O249" s="2">
        <v>32637.82</v>
      </c>
      <c r="P249" s="2">
        <v>0</v>
      </c>
    </row>
    <row r="250" spans="1:16">
      <c r="A250" s="2" t="str">
        <f t="shared" si="96"/>
        <v>20150602</v>
      </c>
      <c r="B250" s="2"/>
      <c r="C250" s="2"/>
      <c r="D250" s="2" t="str">
        <f t="shared" ref="D250:D252" si="97">"偿还融资负债本金"</f>
        <v>偿还融资负债本金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-553.36</v>
      </c>
      <c r="O250" s="2">
        <v>32084.46</v>
      </c>
      <c r="P250" s="2">
        <v>0</v>
      </c>
    </row>
    <row r="251" spans="1:16">
      <c r="A251" s="2" t="str">
        <f t="shared" si="96"/>
        <v>20150602</v>
      </c>
      <c r="B251" s="2"/>
      <c r="C251" s="2"/>
      <c r="D251" s="2" t="str">
        <f t="shared" si="97"/>
        <v>偿还融资负债本金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-16913.23</v>
      </c>
      <c r="O251" s="2">
        <v>15171.23</v>
      </c>
      <c r="P251" s="2">
        <v>0</v>
      </c>
    </row>
    <row r="252" spans="1:16">
      <c r="A252" s="2" t="str">
        <f t="shared" si="96"/>
        <v>20150602</v>
      </c>
      <c r="B252" s="2"/>
      <c r="C252" s="2"/>
      <c r="D252" s="2" t="str">
        <f t="shared" si="97"/>
        <v>偿还融资负债本金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-6040.44</v>
      </c>
      <c r="O252" s="2">
        <v>9130.79</v>
      </c>
      <c r="P252" s="2">
        <v>0</v>
      </c>
    </row>
    <row r="253" spans="1:16">
      <c r="A253" s="2" t="str">
        <f t="shared" ref="A253:A263" si="98">"20150604"</f>
        <v>20150604</v>
      </c>
      <c r="B253" s="2" t="str">
        <f t="shared" ref="B253:B256" si="99">"600219"</f>
        <v>600219</v>
      </c>
      <c r="C253" s="2" t="str">
        <f t="shared" ref="C253:C256" si="100">"南山铝业"</f>
        <v>南山铝业</v>
      </c>
      <c r="D253" s="2" t="str">
        <f>"担保品卖出"</f>
        <v>担保品卖出</v>
      </c>
      <c r="E253" s="2">
        <v>12.73</v>
      </c>
      <c r="F253" s="2">
        <v>5000</v>
      </c>
      <c r="G253" s="2">
        <v>63650</v>
      </c>
      <c r="H253" s="2">
        <v>31.83</v>
      </c>
      <c r="I253" s="2">
        <v>26.13</v>
      </c>
      <c r="J253" s="2">
        <v>63.65</v>
      </c>
      <c r="K253" s="2">
        <v>3</v>
      </c>
      <c r="L253" s="2">
        <v>0</v>
      </c>
      <c r="M253" s="2">
        <v>0</v>
      </c>
      <c r="N253" s="2">
        <v>63551.52</v>
      </c>
      <c r="O253" s="2">
        <v>72682.31</v>
      </c>
      <c r="P253" s="2">
        <v>7400</v>
      </c>
    </row>
    <row r="254" spans="1:16">
      <c r="A254" s="2" t="str">
        <f t="shared" si="98"/>
        <v>20150604</v>
      </c>
      <c r="B254" s="2" t="str">
        <f t="shared" si="99"/>
        <v>600219</v>
      </c>
      <c r="C254" s="2" t="str">
        <f t="shared" si="100"/>
        <v>南山铝业</v>
      </c>
      <c r="D254" s="2" t="str">
        <f>"融资买入"</f>
        <v>融资买入</v>
      </c>
      <c r="E254" s="2">
        <v>12.71</v>
      </c>
      <c r="F254" s="2">
        <v>5000</v>
      </c>
      <c r="G254" s="2">
        <v>63550</v>
      </c>
      <c r="H254" s="2">
        <v>69.91</v>
      </c>
      <c r="I254" s="2">
        <v>64.22</v>
      </c>
      <c r="J254" s="2">
        <v>0</v>
      </c>
      <c r="K254" s="2">
        <v>3</v>
      </c>
      <c r="L254" s="2">
        <v>0</v>
      </c>
      <c r="M254" s="2">
        <v>0</v>
      </c>
      <c r="N254" s="2">
        <v>-63622.91</v>
      </c>
      <c r="O254" s="2">
        <v>9059.4</v>
      </c>
      <c r="P254" s="2">
        <v>12400</v>
      </c>
    </row>
    <row r="255" spans="1:16">
      <c r="A255" s="2" t="str">
        <f t="shared" si="98"/>
        <v>20150604</v>
      </c>
      <c r="B255" s="2" t="str">
        <f t="shared" si="99"/>
        <v>600219</v>
      </c>
      <c r="C255" s="2" t="str">
        <f t="shared" si="100"/>
        <v>南山铝业</v>
      </c>
      <c r="D255" s="2" t="str">
        <f>"担保品卖出"</f>
        <v>担保品卖出</v>
      </c>
      <c r="E255" s="2">
        <v>12.58</v>
      </c>
      <c r="F255" s="2">
        <v>5000</v>
      </c>
      <c r="G255" s="2">
        <v>62900</v>
      </c>
      <c r="H255" s="2">
        <v>31.45</v>
      </c>
      <c r="I255" s="2">
        <v>25.82</v>
      </c>
      <c r="J255" s="2">
        <v>62.9</v>
      </c>
      <c r="K255" s="2">
        <v>3</v>
      </c>
      <c r="L255" s="2">
        <v>0</v>
      </c>
      <c r="M255" s="2">
        <v>0</v>
      </c>
      <c r="N255" s="2">
        <v>62802.65</v>
      </c>
      <c r="O255" s="2">
        <v>71862.05</v>
      </c>
      <c r="P255" s="2">
        <v>7400</v>
      </c>
    </row>
    <row r="256" spans="1:16">
      <c r="A256" s="2" t="str">
        <f t="shared" si="98"/>
        <v>20150604</v>
      </c>
      <c r="B256" s="2" t="str">
        <f t="shared" si="99"/>
        <v>600219</v>
      </c>
      <c r="C256" s="2" t="str">
        <f t="shared" si="100"/>
        <v>南山铝业</v>
      </c>
      <c r="D256" s="2" t="str">
        <f>"融资买入"</f>
        <v>融资买入</v>
      </c>
      <c r="E256" s="2">
        <v>12.07</v>
      </c>
      <c r="F256" s="2">
        <v>2000</v>
      </c>
      <c r="G256" s="2">
        <v>24140</v>
      </c>
      <c r="H256" s="2">
        <v>26.55</v>
      </c>
      <c r="I256" s="2">
        <v>24.38</v>
      </c>
      <c r="J256" s="2">
        <v>0</v>
      </c>
      <c r="K256" s="2">
        <v>1.2</v>
      </c>
      <c r="L256" s="2">
        <v>0</v>
      </c>
      <c r="M256" s="2">
        <v>0</v>
      </c>
      <c r="N256" s="2">
        <v>-24167.75</v>
      </c>
      <c r="O256" s="2">
        <v>47694.3</v>
      </c>
      <c r="P256" s="2">
        <v>9400</v>
      </c>
    </row>
    <row r="257" spans="1:16">
      <c r="A257" s="2" t="str">
        <f t="shared" si="98"/>
        <v>20150604</v>
      </c>
      <c r="B257" s="2"/>
      <c r="C257" s="2"/>
      <c r="D257" s="2" t="str">
        <f>"融资借入"</f>
        <v>融资借入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63622.91</v>
      </c>
      <c r="O257" s="2">
        <v>111317.21</v>
      </c>
      <c r="P257" s="2">
        <v>0</v>
      </c>
    </row>
    <row r="258" spans="1:16">
      <c r="A258" s="2" t="str">
        <f t="shared" si="98"/>
        <v>20150604</v>
      </c>
      <c r="B258" s="2"/>
      <c r="C258" s="2"/>
      <c r="D258" s="2" t="str">
        <f>"融资借入"</f>
        <v>融资借入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24167.75</v>
      </c>
      <c r="O258" s="2">
        <v>135484.96</v>
      </c>
      <c r="P258" s="2">
        <v>0</v>
      </c>
    </row>
    <row r="259" spans="1:16">
      <c r="A259" s="2" t="str">
        <f t="shared" si="98"/>
        <v>20150604</v>
      </c>
      <c r="B259" s="2"/>
      <c r="C259" s="2"/>
      <c r="D259" s="2" t="str">
        <f>"偿还融资利息"</f>
        <v>偿还融资利息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-28.52</v>
      </c>
      <c r="O259" s="2">
        <v>135456.44</v>
      </c>
      <c r="P259" s="2">
        <v>0</v>
      </c>
    </row>
    <row r="260" spans="1:16">
      <c r="A260" s="2" t="str">
        <f t="shared" si="98"/>
        <v>20150604</v>
      </c>
      <c r="B260" s="2"/>
      <c r="C260" s="2"/>
      <c r="D260" s="2" t="str">
        <f t="shared" ref="D260:D263" si="101">"偿还融资负债本金"</f>
        <v>偿还融资负债本金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-9000</v>
      </c>
      <c r="O260" s="2">
        <v>126456.44</v>
      </c>
      <c r="P260" s="2">
        <v>0</v>
      </c>
    </row>
    <row r="261" spans="1:16">
      <c r="A261" s="2" t="str">
        <f t="shared" si="98"/>
        <v>20150604</v>
      </c>
      <c r="B261" s="2"/>
      <c r="C261" s="2"/>
      <c r="D261" s="2" t="str">
        <f t="shared" si="101"/>
        <v>偿还融资负债本金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-61470.54</v>
      </c>
      <c r="O261" s="2">
        <v>64985.9</v>
      </c>
      <c r="P261" s="2">
        <v>0</v>
      </c>
    </row>
    <row r="262" spans="1:16">
      <c r="A262" s="2" t="str">
        <f t="shared" si="98"/>
        <v>20150604</v>
      </c>
      <c r="B262" s="2"/>
      <c r="C262" s="2"/>
      <c r="D262" s="2" t="str">
        <f t="shared" si="101"/>
        <v>偿还融资负债本金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-21942.97</v>
      </c>
      <c r="O262" s="2">
        <v>43042.93</v>
      </c>
      <c r="P262" s="2">
        <v>0</v>
      </c>
    </row>
    <row r="263" spans="1:16">
      <c r="A263" s="2" t="str">
        <f t="shared" si="98"/>
        <v>20150604</v>
      </c>
      <c r="B263" s="2"/>
      <c r="C263" s="2"/>
      <c r="D263" s="2" t="str">
        <f t="shared" si="101"/>
        <v>偿还融资负债本金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-32679.94</v>
      </c>
      <c r="O263" s="2">
        <v>10362.99</v>
      </c>
      <c r="P263" s="2">
        <v>0</v>
      </c>
    </row>
    <row r="264" spans="1:16">
      <c r="A264" s="2" t="str">
        <f t="shared" ref="A264:A266" si="102">"20150605"</f>
        <v>20150605</v>
      </c>
      <c r="B264" s="2" t="str">
        <f t="shared" ref="B264:B271" si="103">"600219"</f>
        <v>600219</v>
      </c>
      <c r="C264" s="2" t="str">
        <f t="shared" ref="C264:C271" si="104">"南山铝业"</f>
        <v>南山铝业</v>
      </c>
      <c r="D264" s="2" t="str">
        <f>"担保品卖出"</f>
        <v>担保品卖出</v>
      </c>
      <c r="E264" s="2">
        <v>12.91</v>
      </c>
      <c r="F264" s="2">
        <v>2000</v>
      </c>
      <c r="G264" s="2">
        <v>25820</v>
      </c>
      <c r="H264" s="2">
        <v>12.91</v>
      </c>
      <c r="I264" s="2">
        <v>10.59</v>
      </c>
      <c r="J264" s="2">
        <v>25.82</v>
      </c>
      <c r="K264" s="2">
        <v>1.2</v>
      </c>
      <c r="L264" s="2">
        <v>0</v>
      </c>
      <c r="M264" s="2">
        <v>0</v>
      </c>
      <c r="N264" s="2">
        <v>25780.07</v>
      </c>
      <c r="O264" s="2">
        <v>36143.06</v>
      </c>
      <c r="P264" s="2">
        <v>7400</v>
      </c>
    </row>
    <row r="265" spans="1:16">
      <c r="A265" s="2" t="str">
        <f t="shared" si="102"/>
        <v>20150605</v>
      </c>
      <c r="B265" s="2"/>
      <c r="C265" s="2"/>
      <c r="D265" s="2" t="str">
        <f>"偿还融资利息"</f>
        <v>偿还融资利息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-5.61</v>
      </c>
      <c r="O265" s="2">
        <v>36137.45</v>
      </c>
      <c r="P265" s="2">
        <v>0</v>
      </c>
    </row>
    <row r="266" spans="1:16">
      <c r="A266" s="2" t="str">
        <f t="shared" si="102"/>
        <v>20150605</v>
      </c>
      <c r="B266" s="2"/>
      <c r="C266" s="2"/>
      <c r="D266" s="2" t="str">
        <f>"偿还融资负债本金"</f>
        <v>偿还融资负债本金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-24167.75</v>
      </c>
      <c r="O266" s="2">
        <v>11969.7</v>
      </c>
      <c r="P266" s="2">
        <v>0</v>
      </c>
    </row>
    <row r="267" spans="1:16">
      <c r="A267" s="2" t="str">
        <f>"20150608"</f>
        <v>20150608</v>
      </c>
      <c r="B267" s="2" t="str">
        <f>"150181"</f>
        <v>150181</v>
      </c>
      <c r="C267" s="2" t="str">
        <f>"军工A"</f>
        <v>军工A</v>
      </c>
      <c r="D267" s="2" t="str">
        <f t="shared" ref="D267:D272" si="105">"担保品买入"</f>
        <v>担保品买入</v>
      </c>
      <c r="E267" s="2">
        <v>0.809</v>
      </c>
      <c r="F267" s="2">
        <v>14600</v>
      </c>
      <c r="G267" s="2">
        <v>11811.4</v>
      </c>
      <c r="H267" s="2">
        <v>5.91</v>
      </c>
      <c r="I267" s="2">
        <v>4.76</v>
      </c>
      <c r="J267" s="2">
        <v>0</v>
      </c>
      <c r="K267" s="2">
        <v>0</v>
      </c>
      <c r="L267" s="2">
        <v>0</v>
      </c>
      <c r="M267" s="2">
        <v>0</v>
      </c>
      <c r="N267" s="2">
        <v>-11817.31</v>
      </c>
      <c r="O267" s="2">
        <v>152.39</v>
      </c>
      <c r="P267" s="2">
        <v>106234</v>
      </c>
    </row>
    <row r="268" spans="1:16">
      <c r="A268" s="2" t="str">
        <f>"20150609"</f>
        <v>20150609</v>
      </c>
      <c r="B268" s="2" t="str">
        <f t="shared" si="103"/>
        <v>600219</v>
      </c>
      <c r="C268" s="2" t="str">
        <f t="shared" si="104"/>
        <v>南山铝业</v>
      </c>
      <c r="D268" s="2" t="str">
        <f>"红利入账"</f>
        <v>红利入账</v>
      </c>
      <c r="E268" s="2">
        <v>0</v>
      </c>
      <c r="F268" s="2">
        <v>7400</v>
      </c>
      <c r="G268" s="2">
        <v>703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703</v>
      </c>
      <c r="O268" s="2">
        <v>855.39</v>
      </c>
      <c r="P268" s="2">
        <v>0</v>
      </c>
    </row>
    <row r="269" spans="1:16">
      <c r="A269" s="2" t="str">
        <f>"20150615"</f>
        <v>20150615</v>
      </c>
      <c r="B269" s="2" t="str">
        <f t="shared" si="103"/>
        <v>600219</v>
      </c>
      <c r="C269" s="2" t="str">
        <f t="shared" si="104"/>
        <v>南山铝业</v>
      </c>
      <c r="D269" s="2" t="str">
        <f>"担保品卖出"</f>
        <v>担保品卖出</v>
      </c>
      <c r="E269" s="2">
        <v>13.18</v>
      </c>
      <c r="F269" s="2">
        <v>5000</v>
      </c>
      <c r="G269" s="2">
        <v>65900</v>
      </c>
      <c r="H269" s="2">
        <v>32.95</v>
      </c>
      <c r="I269" s="2">
        <v>27.04</v>
      </c>
      <c r="J269" s="2">
        <v>65.9</v>
      </c>
      <c r="K269" s="2">
        <v>3</v>
      </c>
      <c r="L269" s="2">
        <v>0</v>
      </c>
      <c r="M269" s="2">
        <v>0</v>
      </c>
      <c r="N269" s="2">
        <v>65798.15</v>
      </c>
      <c r="O269" s="2">
        <v>66653.54</v>
      </c>
      <c r="P269" s="2">
        <v>2400</v>
      </c>
    </row>
    <row r="270" spans="1:16">
      <c r="A270" s="2" t="str">
        <f>"20150615"</f>
        <v>20150615</v>
      </c>
      <c r="B270" s="2" t="str">
        <f t="shared" si="103"/>
        <v>600219</v>
      </c>
      <c r="C270" s="2" t="str">
        <f t="shared" si="104"/>
        <v>南山铝业</v>
      </c>
      <c r="D270" s="2" t="str">
        <f t="shared" si="105"/>
        <v>担保品买入</v>
      </c>
      <c r="E270" s="2">
        <v>12.95</v>
      </c>
      <c r="F270" s="2">
        <v>5000</v>
      </c>
      <c r="G270" s="2">
        <v>64750</v>
      </c>
      <c r="H270" s="2">
        <v>32.38</v>
      </c>
      <c r="I270" s="2">
        <v>26.57</v>
      </c>
      <c r="J270" s="2">
        <v>0</v>
      </c>
      <c r="K270" s="2">
        <v>3</v>
      </c>
      <c r="L270" s="2">
        <v>0</v>
      </c>
      <c r="M270" s="2">
        <v>0</v>
      </c>
      <c r="N270" s="2">
        <v>-64785.38</v>
      </c>
      <c r="O270" s="2">
        <v>1868.16</v>
      </c>
      <c r="P270" s="2">
        <v>7400</v>
      </c>
    </row>
    <row r="271" spans="1:16">
      <c r="A271" s="2" t="str">
        <f>"20150616"</f>
        <v>20150616</v>
      </c>
      <c r="B271" s="2" t="str">
        <f t="shared" si="103"/>
        <v>600219</v>
      </c>
      <c r="C271" s="2" t="str">
        <f t="shared" si="104"/>
        <v>南山铝业</v>
      </c>
      <c r="D271" s="2" t="str">
        <f>"担保品卖出"</f>
        <v>担保品卖出</v>
      </c>
      <c r="E271" s="2">
        <v>12.63</v>
      </c>
      <c r="F271" s="2">
        <v>7400</v>
      </c>
      <c r="G271" s="2">
        <v>93462</v>
      </c>
      <c r="H271" s="2">
        <v>46.73</v>
      </c>
      <c r="I271" s="2">
        <v>38.36</v>
      </c>
      <c r="J271" s="2">
        <v>93.46</v>
      </c>
      <c r="K271" s="2">
        <v>4.44</v>
      </c>
      <c r="L271" s="2">
        <v>0</v>
      </c>
      <c r="M271" s="2">
        <v>0</v>
      </c>
      <c r="N271" s="2">
        <v>93317.37</v>
      </c>
      <c r="O271" s="2">
        <v>95185.53</v>
      </c>
      <c r="P271" s="2">
        <v>0</v>
      </c>
    </row>
    <row r="272" spans="1:16">
      <c r="A272" s="2" t="str">
        <f>"20150616"</f>
        <v>20150616</v>
      </c>
      <c r="B272" s="2" t="str">
        <f>"150259"</f>
        <v>150259</v>
      </c>
      <c r="C272" s="2" t="str">
        <f>"重组A"</f>
        <v>重组A</v>
      </c>
      <c r="D272" s="2" t="str">
        <f t="shared" si="105"/>
        <v>担保品买入</v>
      </c>
      <c r="E272" s="2">
        <v>0.767</v>
      </c>
      <c r="F272" s="2">
        <v>122900</v>
      </c>
      <c r="G272" s="2">
        <v>94264.3</v>
      </c>
      <c r="H272" s="2">
        <v>47.13</v>
      </c>
      <c r="I272" s="2">
        <v>37.94</v>
      </c>
      <c r="J272" s="2">
        <v>0</v>
      </c>
      <c r="K272" s="2">
        <v>0</v>
      </c>
      <c r="L272" s="2">
        <v>0</v>
      </c>
      <c r="M272" s="2">
        <v>0</v>
      </c>
      <c r="N272" s="2">
        <v>-94311.43</v>
      </c>
      <c r="O272" s="2">
        <v>874.1</v>
      </c>
      <c r="P272" s="2">
        <v>122900</v>
      </c>
    </row>
    <row r="273" spans="1:16">
      <c r="A273" s="2" t="str">
        <f t="shared" ref="A273:A275" si="106">"20150617"</f>
        <v>20150617</v>
      </c>
      <c r="B273" s="2" t="str">
        <f t="shared" ref="B273:B275" si="107">"600219"</f>
        <v>600219</v>
      </c>
      <c r="C273" s="2" t="str">
        <f t="shared" ref="C273:C275" si="108">"南山铝业"</f>
        <v>南山铝业</v>
      </c>
      <c r="D273" s="2" t="str">
        <f t="shared" ref="D273:D275" si="109">"股息红利差异扣税"</f>
        <v>股息红利差异扣税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-36</v>
      </c>
      <c r="O273" s="2">
        <v>838.1</v>
      </c>
      <c r="P273" s="2">
        <v>0</v>
      </c>
    </row>
    <row r="274" spans="1:16">
      <c r="A274" s="2" t="str">
        <f t="shared" si="106"/>
        <v>20150617</v>
      </c>
      <c r="B274" s="2" t="str">
        <f t="shared" si="107"/>
        <v>600219</v>
      </c>
      <c r="C274" s="2" t="str">
        <f t="shared" si="108"/>
        <v>南山铝业</v>
      </c>
      <c r="D274" s="2" t="str">
        <f t="shared" si="109"/>
        <v>股息红利差异扣税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-30</v>
      </c>
      <c r="O274" s="2">
        <v>808.1</v>
      </c>
      <c r="P274" s="2">
        <v>0</v>
      </c>
    </row>
    <row r="275" spans="1:16">
      <c r="A275" s="2" t="str">
        <f t="shared" si="106"/>
        <v>20150617</v>
      </c>
      <c r="B275" s="2" t="str">
        <f t="shared" si="107"/>
        <v>600219</v>
      </c>
      <c r="C275" s="2" t="str">
        <f t="shared" si="108"/>
        <v>南山铝业</v>
      </c>
      <c r="D275" s="2" t="str">
        <f t="shared" si="109"/>
        <v>股息红利差异扣税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-45</v>
      </c>
      <c r="O275" s="2">
        <v>763.1</v>
      </c>
      <c r="P275" s="2">
        <v>0</v>
      </c>
    </row>
    <row r="276" spans="1:16">
      <c r="A276" s="2" t="str">
        <f>"20150618"</f>
        <v>20150618</v>
      </c>
      <c r="B276" s="2" t="str">
        <f>"150259"</f>
        <v>150259</v>
      </c>
      <c r="C276" s="2" t="str">
        <f>"重组A"</f>
        <v>重组A</v>
      </c>
      <c r="D276" s="2" t="str">
        <f>"担保品卖出"</f>
        <v>担保品卖出</v>
      </c>
      <c r="E276" s="2">
        <v>0.777</v>
      </c>
      <c r="F276" s="2">
        <v>122900</v>
      </c>
      <c r="G276" s="2">
        <v>95493.3</v>
      </c>
      <c r="H276" s="2">
        <v>47.75</v>
      </c>
      <c r="I276" s="2">
        <v>38.44</v>
      </c>
      <c r="J276" s="2">
        <v>0</v>
      </c>
      <c r="K276" s="2">
        <v>0</v>
      </c>
      <c r="L276" s="2">
        <v>0</v>
      </c>
      <c r="M276" s="2">
        <v>0</v>
      </c>
      <c r="N276" s="2">
        <v>95445.55</v>
      </c>
      <c r="O276" s="2">
        <v>96208.65</v>
      </c>
      <c r="P276" s="2">
        <v>0</v>
      </c>
    </row>
    <row r="277" spans="1:16">
      <c r="A277" s="2" t="str">
        <f t="shared" ref="A277:A291" si="110">"20150619"</f>
        <v>20150619</v>
      </c>
      <c r="B277" s="2"/>
      <c r="C277" s="2"/>
      <c r="D277" s="2" t="str">
        <f>"利息归本"</f>
        <v>利息归本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2.24</v>
      </c>
      <c r="O277" s="2">
        <v>96210.89</v>
      </c>
      <c r="P277" s="2">
        <v>0</v>
      </c>
    </row>
    <row r="278" spans="1:16">
      <c r="A278" s="2" t="str">
        <f t="shared" si="110"/>
        <v>20150619</v>
      </c>
      <c r="B278" s="2" t="str">
        <f t="shared" ref="B278:B284" si="111">"600066"</f>
        <v>600066</v>
      </c>
      <c r="C278" s="2" t="str">
        <f t="shared" ref="C278:C284" si="112">"宇通客车"</f>
        <v>宇通客车</v>
      </c>
      <c r="D278" s="2" t="str">
        <f t="shared" ref="D278:D281" si="113">"融资买入"</f>
        <v>融资买入</v>
      </c>
      <c r="E278" s="2">
        <v>21.65</v>
      </c>
      <c r="F278" s="2">
        <v>1000</v>
      </c>
      <c r="G278" s="2">
        <v>21650</v>
      </c>
      <c r="H278" s="2">
        <v>23.82</v>
      </c>
      <c r="I278" s="2">
        <v>21.89</v>
      </c>
      <c r="J278" s="2">
        <v>0</v>
      </c>
      <c r="K278" s="2">
        <v>0.6</v>
      </c>
      <c r="L278" s="2">
        <v>0</v>
      </c>
      <c r="M278" s="2">
        <v>0</v>
      </c>
      <c r="N278" s="2">
        <v>-21674.42</v>
      </c>
      <c r="O278" s="2">
        <v>74536.47</v>
      </c>
      <c r="P278" s="2">
        <v>2500</v>
      </c>
    </row>
    <row r="279" spans="1:16">
      <c r="A279" s="2" t="str">
        <f t="shared" si="110"/>
        <v>20150619</v>
      </c>
      <c r="B279" s="2" t="str">
        <f t="shared" si="111"/>
        <v>600066</v>
      </c>
      <c r="C279" s="2" t="str">
        <f t="shared" si="112"/>
        <v>宇通客车</v>
      </c>
      <c r="D279" s="2" t="str">
        <f t="shared" si="113"/>
        <v>融资买入</v>
      </c>
      <c r="E279" s="2">
        <v>21.2</v>
      </c>
      <c r="F279" s="2">
        <v>1336</v>
      </c>
      <c r="G279" s="2">
        <v>28323.2</v>
      </c>
      <c r="H279" s="2">
        <v>31.16</v>
      </c>
      <c r="I279" s="2">
        <v>28.63</v>
      </c>
      <c r="J279" s="2">
        <v>0</v>
      </c>
      <c r="K279" s="2">
        <v>0.8</v>
      </c>
      <c r="L279" s="2">
        <v>0</v>
      </c>
      <c r="M279" s="2">
        <v>0</v>
      </c>
      <c r="N279" s="2">
        <v>-28355.16</v>
      </c>
      <c r="O279" s="2">
        <v>46181.31</v>
      </c>
      <c r="P279" s="2">
        <v>3836</v>
      </c>
    </row>
    <row r="280" spans="1:16">
      <c r="A280" s="2" t="str">
        <f t="shared" si="110"/>
        <v>20150619</v>
      </c>
      <c r="B280" s="2" t="str">
        <f t="shared" si="111"/>
        <v>600066</v>
      </c>
      <c r="C280" s="2" t="str">
        <f t="shared" si="112"/>
        <v>宇通客车</v>
      </c>
      <c r="D280" s="2" t="str">
        <f t="shared" si="113"/>
        <v>融资买入</v>
      </c>
      <c r="E280" s="2">
        <v>20.84</v>
      </c>
      <c r="F280" s="2">
        <v>1200</v>
      </c>
      <c r="G280" s="2">
        <v>25008</v>
      </c>
      <c r="H280" s="2">
        <v>27.51</v>
      </c>
      <c r="I280" s="2">
        <v>25.27</v>
      </c>
      <c r="J280" s="2">
        <v>0</v>
      </c>
      <c r="K280" s="2">
        <v>0.72</v>
      </c>
      <c r="L280" s="2">
        <v>0</v>
      </c>
      <c r="M280" s="2">
        <v>0</v>
      </c>
      <c r="N280" s="2">
        <v>-25036.23</v>
      </c>
      <c r="O280" s="2">
        <v>21145.08</v>
      </c>
      <c r="P280" s="2">
        <v>5036</v>
      </c>
    </row>
    <row r="281" spans="1:16">
      <c r="A281" s="2" t="str">
        <f t="shared" si="110"/>
        <v>20150619</v>
      </c>
      <c r="B281" s="2" t="str">
        <f t="shared" si="111"/>
        <v>600066</v>
      </c>
      <c r="C281" s="2" t="str">
        <f t="shared" si="112"/>
        <v>宇通客车</v>
      </c>
      <c r="D281" s="2" t="str">
        <f t="shared" si="113"/>
        <v>融资买入</v>
      </c>
      <c r="E281" s="2">
        <v>21.2</v>
      </c>
      <c r="F281" s="2">
        <v>1000</v>
      </c>
      <c r="G281" s="2">
        <v>21200</v>
      </c>
      <c r="H281" s="2">
        <v>23.32</v>
      </c>
      <c r="I281" s="2">
        <v>21.42</v>
      </c>
      <c r="J281" s="2">
        <v>0</v>
      </c>
      <c r="K281" s="2">
        <v>0.6</v>
      </c>
      <c r="L281" s="2">
        <v>0</v>
      </c>
      <c r="M281" s="2">
        <v>0</v>
      </c>
      <c r="N281" s="2">
        <v>-21223.92</v>
      </c>
      <c r="O281" s="2">
        <v>-78.84</v>
      </c>
      <c r="P281" s="2">
        <v>6036</v>
      </c>
    </row>
    <row r="282" spans="1:16">
      <c r="A282" s="2" t="str">
        <f t="shared" si="110"/>
        <v>20150619</v>
      </c>
      <c r="B282" s="2" t="str">
        <f t="shared" si="111"/>
        <v>600066</v>
      </c>
      <c r="C282" s="2" t="str">
        <f t="shared" si="112"/>
        <v>宇通客车</v>
      </c>
      <c r="D282" s="2" t="str">
        <f>"卖券还款"</f>
        <v>卖券还款</v>
      </c>
      <c r="E282" s="2">
        <v>21.57</v>
      </c>
      <c r="F282" s="2">
        <v>500</v>
      </c>
      <c r="G282" s="2">
        <v>10785</v>
      </c>
      <c r="H282" s="2">
        <v>11.86</v>
      </c>
      <c r="I282" s="2">
        <v>10.89</v>
      </c>
      <c r="J282" s="2">
        <v>10.79</v>
      </c>
      <c r="K282" s="2">
        <v>0.3</v>
      </c>
      <c r="L282" s="2">
        <v>0</v>
      </c>
      <c r="M282" s="2">
        <v>0</v>
      </c>
      <c r="N282" s="2">
        <v>10762.05</v>
      </c>
      <c r="O282" s="2">
        <v>10683.21</v>
      </c>
      <c r="P282" s="2">
        <v>5536</v>
      </c>
    </row>
    <row r="283" spans="1:16">
      <c r="A283" s="2" t="str">
        <f t="shared" si="110"/>
        <v>20150619</v>
      </c>
      <c r="B283" s="2" t="str">
        <f t="shared" si="111"/>
        <v>600066</v>
      </c>
      <c r="C283" s="2" t="str">
        <f t="shared" si="112"/>
        <v>宇通客车</v>
      </c>
      <c r="D283" s="2" t="str">
        <f>"卖券还款"</f>
        <v>卖券还款</v>
      </c>
      <c r="E283" s="2">
        <v>21.47</v>
      </c>
      <c r="F283" s="2">
        <v>500</v>
      </c>
      <c r="G283" s="2">
        <v>10735</v>
      </c>
      <c r="H283" s="2">
        <v>11.81</v>
      </c>
      <c r="I283" s="2">
        <v>10.85</v>
      </c>
      <c r="J283" s="2">
        <v>10.74</v>
      </c>
      <c r="K283" s="2">
        <v>0.3</v>
      </c>
      <c r="L283" s="2">
        <v>0</v>
      </c>
      <c r="M283" s="2">
        <v>0</v>
      </c>
      <c r="N283" s="2">
        <v>10712.15</v>
      </c>
      <c r="O283" s="2">
        <v>21395.36</v>
      </c>
      <c r="P283" s="2">
        <v>5036</v>
      </c>
    </row>
    <row r="284" spans="1:16">
      <c r="A284" s="2" t="str">
        <f t="shared" si="110"/>
        <v>20150619</v>
      </c>
      <c r="B284" s="2" t="str">
        <f t="shared" si="111"/>
        <v>600066</v>
      </c>
      <c r="C284" s="2" t="str">
        <f t="shared" si="112"/>
        <v>宇通客车</v>
      </c>
      <c r="D284" s="2" t="str">
        <f>"融资买入"</f>
        <v>融资买入</v>
      </c>
      <c r="E284" s="2">
        <v>20.63</v>
      </c>
      <c r="F284" s="2">
        <v>1000</v>
      </c>
      <c r="G284" s="2">
        <v>20630</v>
      </c>
      <c r="H284" s="2">
        <v>22.69</v>
      </c>
      <c r="I284" s="2">
        <v>20.84</v>
      </c>
      <c r="J284" s="2">
        <v>0</v>
      </c>
      <c r="K284" s="2">
        <v>0.6</v>
      </c>
      <c r="L284" s="2">
        <v>0</v>
      </c>
      <c r="M284" s="2">
        <v>0</v>
      </c>
      <c r="N284" s="2">
        <v>-20653.29</v>
      </c>
      <c r="O284" s="2">
        <v>742.07</v>
      </c>
      <c r="P284" s="2">
        <v>6036</v>
      </c>
    </row>
    <row r="285" spans="1:16">
      <c r="A285" s="2" t="str">
        <f t="shared" si="110"/>
        <v>20150619</v>
      </c>
      <c r="B285" s="2"/>
      <c r="C285" s="2"/>
      <c r="D285" s="2" t="str">
        <f t="shared" ref="D285:D289" si="114">"融资借入"</f>
        <v>融资借入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21674.42</v>
      </c>
      <c r="O285" s="2">
        <v>22416.49</v>
      </c>
      <c r="P285" s="2">
        <v>0</v>
      </c>
    </row>
    <row r="286" spans="1:16">
      <c r="A286" s="2" t="str">
        <f t="shared" si="110"/>
        <v>20150619</v>
      </c>
      <c r="B286" s="2"/>
      <c r="C286" s="2"/>
      <c r="D286" s="2" t="str">
        <f t="shared" si="114"/>
        <v>融资借入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28355.16</v>
      </c>
      <c r="O286" s="2">
        <v>50771.65</v>
      </c>
      <c r="P286" s="2">
        <v>0</v>
      </c>
    </row>
    <row r="287" spans="1:16">
      <c r="A287" s="2" t="str">
        <f t="shared" si="110"/>
        <v>20150619</v>
      </c>
      <c r="B287" s="2"/>
      <c r="C287" s="2"/>
      <c r="D287" s="2" t="str">
        <f t="shared" si="114"/>
        <v>融资借入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25036.23</v>
      </c>
      <c r="O287" s="2">
        <v>75807.88</v>
      </c>
      <c r="P287" s="2">
        <v>0</v>
      </c>
    </row>
    <row r="288" spans="1:16">
      <c r="A288" s="2" t="str">
        <f t="shared" si="110"/>
        <v>20150619</v>
      </c>
      <c r="B288" s="2"/>
      <c r="C288" s="2"/>
      <c r="D288" s="2" t="str">
        <f t="shared" si="114"/>
        <v>融资借入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21223.92</v>
      </c>
      <c r="O288" s="2">
        <v>97031.8</v>
      </c>
      <c r="P288" s="2">
        <v>0</v>
      </c>
    </row>
    <row r="289" spans="1:16">
      <c r="A289" s="2" t="str">
        <f t="shared" si="110"/>
        <v>20150619</v>
      </c>
      <c r="B289" s="2"/>
      <c r="C289" s="2"/>
      <c r="D289" s="2" t="str">
        <f t="shared" si="114"/>
        <v>融资借入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20653.29</v>
      </c>
      <c r="O289" s="2">
        <v>117685.09</v>
      </c>
      <c r="P289" s="2">
        <v>0</v>
      </c>
    </row>
    <row r="290" spans="1:16">
      <c r="A290" s="2" t="str">
        <f t="shared" si="110"/>
        <v>20150619</v>
      </c>
      <c r="B290" s="2"/>
      <c r="C290" s="2"/>
      <c r="D290" s="2" t="str">
        <f>"偿还融资负债本金"</f>
        <v>偿还融资负债本金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-10762.05</v>
      </c>
      <c r="O290" s="2">
        <v>106923.04</v>
      </c>
      <c r="P290" s="2">
        <v>0</v>
      </c>
    </row>
    <row r="291" spans="1:16">
      <c r="A291" s="2" t="str">
        <f t="shared" si="110"/>
        <v>20150619</v>
      </c>
      <c r="B291" s="2"/>
      <c r="C291" s="2"/>
      <c r="D291" s="2" t="str">
        <f>"偿还融资负债本金"</f>
        <v>偿还融资负债本金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-10712.15</v>
      </c>
      <c r="O291" s="2">
        <v>96210.89</v>
      </c>
      <c r="P291" s="2">
        <v>0</v>
      </c>
    </row>
    <row r="292" spans="1:16">
      <c r="A292" s="2" t="str">
        <f t="shared" ref="A292:A295" si="115">"20150623"</f>
        <v>20150623</v>
      </c>
      <c r="B292" s="2" t="str">
        <f>"600219"</f>
        <v>600219</v>
      </c>
      <c r="C292" s="2" t="str">
        <f>"南山铝业"</f>
        <v>南山铝业</v>
      </c>
      <c r="D292" s="2" t="str">
        <f>"融资买入"</f>
        <v>融资买入</v>
      </c>
      <c r="E292" s="2">
        <v>11.51</v>
      </c>
      <c r="F292" s="2">
        <v>1000</v>
      </c>
      <c r="G292" s="2">
        <v>11510</v>
      </c>
      <c r="H292" s="2">
        <v>12.66</v>
      </c>
      <c r="I292" s="2">
        <v>11.63</v>
      </c>
      <c r="J292" s="2">
        <v>0</v>
      </c>
      <c r="K292" s="2">
        <v>0.6</v>
      </c>
      <c r="L292" s="2">
        <v>0</v>
      </c>
      <c r="M292" s="2">
        <v>0</v>
      </c>
      <c r="N292" s="2">
        <v>-11523.26</v>
      </c>
      <c r="O292" s="2">
        <v>84687.63</v>
      </c>
      <c r="P292" s="2">
        <v>1000</v>
      </c>
    </row>
    <row r="293" spans="1:16">
      <c r="A293" s="2" t="str">
        <f t="shared" si="115"/>
        <v>20150623</v>
      </c>
      <c r="B293" s="2" t="str">
        <f>"600066"</f>
        <v>600066</v>
      </c>
      <c r="C293" s="2" t="str">
        <f>"宇通客车"</f>
        <v>宇通客车</v>
      </c>
      <c r="D293" s="2" t="str">
        <f>"融资买入"</f>
        <v>融资买入</v>
      </c>
      <c r="E293" s="2">
        <v>20.41</v>
      </c>
      <c r="F293" s="2">
        <v>1000</v>
      </c>
      <c r="G293" s="2">
        <v>20410</v>
      </c>
      <c r="H293" s="2">
        <v>22.45</v>
      </c>
      <c r="I293" s="2">
        <v>20.63</v>
      </c>
      <c r="J293" s="2">
        <v>0</v>
      </c>
      <c r="K293" s="2">
        <v>0.6</v>
      </c>
      <c r="L293" s="2">
        <v>0</v>
      </c>
      <c r="M293" s="2">
        <v>0</v>
      </c>
      <c r="N293" s="2">
        <v>-20433.05</v>
      </c>
      <c r="O293" s="2">
        <v>64254.58</v>
      </c>
      <c r="P293" s="2">
        <v>7036</v>
      </c>
    </row>
    <row r="294" spans="1:16">
      <c r="A294" s="2" t="str">
        <f t="shared" si="115"/>
        <v>20150623</v>
      </c>
      <c r="B294" s="2"/>
      <c r="C294" s="2"/>
      <c r="D294" s="2" t="str">
        <f>"融资借入"</f>
        <v>融资借入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20433.05</v>
      </c>
      <c r="O294" s="2">
        <v>84687.63</v>
      </c>
      <c r="P294" s="2">
        <v>0</v>
      </c>
    </row>
    <row r="295" spans="1:16">
      <c r="A295" s="2" t="str">
        <f t="shared" si="115"/>
        <v>20150623</v>
      </c>
      <c r="B295" s="2"/>
      <c r="C295" s="2"/>
      <c r="D295" s="2" t="str">
        <f>"融资借入"</f>
        <v>融资借入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11523.26</v>
      </c>
      <c r="O295" s="2">
        <v>96210.89</v>
      </c>
      <c r="P295" s="2">
        <v>0</v>
      </c>
    </row>
    <row r="296" spans="1:16">
      <c r="A296" s="2" t="str">
        <f t="shared" ref="A296:A299" si="116">"20150625"</f>
        <v>20150625</v>
      </c>
      <c r="B296" s="2" t="str">
        <f>"600219"</f>
        <v>600219</v>
      </c>
      <c r="C296" s="2" t="str">
        <f>"南山铝业"</f>
        <v>南山铝业</v>
      </c>
      <c r="D296" s="2" t="str">
        <f>"担保品卖出"</f>
        <v>担保品卖出</v>
      </c>
      <c r="E296" s="2">
        <v>11.89</v>
      </c>
      <c r="F296" s="2">
        <v>1000</v>
      </c>
      <c r="G296" s="2">
        <v>11890</v>
      </c>
      <c r="H296" s="2">
        <v>5</v>
      </c>
      <c r="I296" s="2">
        <v>3.93</v>
      </c>
      <c r="J296" s="2">
        <v>11.89</v>
      </c>
      <c r="K296" s="2">
        <v>0.6</v>
      </c>
      <c r="L296" s="2">
        <v>0</v>
      </c>
      <c r="M296" s="2">
        <v>0</v>
      </c>
      <c r="N296" s="2">
        <v>11872.51</v>
      </c>
      <c r="O296" s="2">
        <v>108083.4</v>
      </c>
      <c r="P296" s="2">
        <v>0</v>
      </c>
    </row>
    <row r="297" spans="1:16">
      <c r="A297" s="2" t="str">
        <f t="shared" si="116"/>
        <v>20150625</v>
      </c>
      <c r="B297" s="2" t="str">
        <f t="shared" ref="B297:B303" si="117">"600066"</f>
        <v>600066</v>
      </c>
      <c r="C297" s="2" t="str">
        <f t="shared" ref="C297:C303" si="118">"宇通客车"</f>
        <v>宇通客车</v>
      </c>
      <c r="D297" s="2" t="str">
        <f t="shared" ref="D297:D304" si="119">"担保品买入"</f>
        <v>担保品买入</v>
      </c>
      <c r="E297" s="2">
        <v>20.5</v>
      </c>
      <c r="F297" s="2">
        <v>1000</v>
      </c>
      <c r="G297" s="2">
        <v>20500</v>
      </c>
      <c r="H297" s="2">
        <v>6.36</v>
      </c>
      <c r="I297" s="2">
        <v>4.52</v>
      </c>
      <c r="J297" s="2">
        <v>0</v>
      </c>
      <c r="K297" s="2">
        <v>0.6</v>
      </c>
      <c r="L297" s="2">
        <v>0</v>
      </c>
      <c r="M297" s="2">
        <v>0</v>
      </c>
      <c r="N297" s="2">
        <v>-20506.96</v>
      </c>
      <c r="O297" s="2">
        <v>87576.44</v>
      </c>
      <c r="P297" s="2">
        <v>8036</v>
      </c>
    </row>
    <row r="298" spans="1:16">
      <c r="A298" s="2" t="str">
        <f t="shared" si="116"/>
        <v>20150625</v>
      </c>
      <c r="B298" s="2"/>
      <c r="C298" s="2"/>
      <c r="D298" s="2" t="str">
        <f>"偿还融资负债本金"</f>
        <v>偿还融资负债本金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-11523.26</v>
      </c>
      <c r="O298" s="2">
        <v>76053.18</v>
      </c>
      <c r="P298" s="2">
        <v>0</v>
      </c>
    </row>
    <row r="299" spans="1:16">
      <c r="A299" s="2" t="str">
        <f t="shared" si="116"/>
        <v>20150625</v>
      </c>
      <c r="B299" s="2"/>
      <c r="C299" s="2"/>
      <c r="D299" s="2" t="str">
        <f>"偿还融资利息"</f>
        <v>偿还融资利息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-5.34</v>
      </c>
      <c r="O299" s="2">
        <v>76047.84</v>
      </c>
      <c r="P299" s="2">
        <v>0</v>
      </c>
    </row>
    <row r="300" spans="1:16">
      <c r="A300" s="2" t="str">
        <f t="shared" ref="A300:A302" si="120">"20150626"</f>
        <v>20150626</v>
      </c>
      <c r="B300" s="2" t="str">
        <f t="shared" si="117"/>
        <v>600066</v>
      </c>
      <c r="C300" s="2" t="str">
        <f t="shared" si="118"/>
        <v>宇通客车</v>
      </c>
      <c r="D300" s="2" t="str">
        <f t="shared" si="119"/>
        <v>担保品买入</v>
      </c>
      <c r="E300" s="2">
        <v>20.03</v>
      </c>
      <c r="F300" s="2">
        <v>1000</v>
      </c>
      <c r="G300" s="2">
        <v>20030</v>
      </c>
      <c r="H300" s="2">
        <v>6.21</v>
      </c>
      <c r="I300" s="2">
        <v>4.41</v>
      </c>
      <c r="J300" s="2">
        <v>0</v>
      </c>
      <c r="K300" s="2">
        <v>0.6</v>
      </c>
      <c r="L300" s="2">
        <v>0</v>
      </c>
      <c r="M300" s="2">
        <v>0</v>
      </c>
      <c r="N300" s="2">
        <v>-20036.81</v>
      </c>
      <c r="O300" s="2">
        <v>56011.03</v>
      </c>
      <c r="P300" s="2">
        <v>9036</v>
      </c>
    </row>
    <row r="301" spans="1:16">
      <c r="A301" s="2" t="str">
        <f t="shared" si="120"/>
        <v>20150626</v>
      </c>
      <c r="B301" s="2" t="str">
        <f t="shared" ref="B301:B307" si="121">"600219"</f>
        <v>600219</v>
      </c>
      <c r="C301" s="2" t="str">
        <f t="shared" ref="C301:C307" si="122">"南山铝业"</f>
        <v>南山铝业</v>
      </c>
      <c r="D301" s="2" t="str">
        <f t="shared" si="119"/>
        <v>担保品买入</v>
      </c>
      <c r="E301" s="2">
        <v>11.02</v>
      </c>
      <c r="F301" s="2">
        <v>1000</v>
      </c>
      <c r="G301" s="2">
        <v>11020</v>
      </c>
      <c r="H301" s="2">
        <v>5</v>
      </c>
      <c r="I301" s="2">
        <v>4.01</v>
      </c>
      <c r="J301" s="2">
        <v>0</v>
      </c>
      <c r="K301" s="2">
        <v>0.6</v>
      </c>
      <c r="L301" s="2">
        <v>0</v>
      </c>
      <c r="M301" s="2">
        <v>0</v>
      </c>
      <c r="N301" s="2">
        <v>-11025.6</v>
      </c>
      <c r="O301" s="2">
        <v>44985.43</v>
      </c>
      <c r="P301" s="2">
        <v>1000</v>
      </c>
    </row>
    <row r="302" spans="1:16">
      <c r="A302" s="2" t="str">
        <f t="shared" si="120"/>
        <v>20150626</v>
      </c>
      <c r="B302" s="2" t="str">
        <f t="shared" si="117"/>
        <v>600066</v>
      </c>
      <c r="C302" s="2" t="str">
        <f t="shared" si="118"/>
        <v>宇通客车</v>
      </c>
      <c r="D302" s="2" t="str">
        <f t="shared" si="119"/>
        <v>担保品买入</v>
      </c>
      <c r="E302" s="2">
        <v>19.15</v>
      </c>
      <c r="F302" s="2">
        <v>1000</v>
      </c>
      <c r="G302" s="2">
        <v>19150</v>
      </c>
      <c r="H302" s="2">
        <v>5.94</v>
      </c>
      <c r="I302" s="2">
        <v>4.23</v>
      </c>
      <c r="J302" s="2">
        <v>0</v>
      </c>
      <c r="K302" s="2">
        <v>0.6</v>
      </c>
      <c r="L302" s="2">
        <v>0</v>
      </c>
      <c r="M302" s="2">
        <v>0</v>
      </c>
      <c r="N302" s="2">
        <v>-19156.54</v>
      </c>
      <c r="O302" s="2">
        <v>25828.89</v>
      </c>
      <c r="P302" s="2">
        <v>10036</v>
      </c>
    </row>
    <row r="303" spans="1:16">
      <c r="A303" s="2" t="str">
        <f>"20150629"</f>
        <v>20150629</v>
      </c>
      <c r="B303" s="2" t="str">
        <f t="shared" si="117"/>
        <v>600066</v>
      </c>
      <c r="C303" s="2" t="str">
        <f t="shared" si="118"/>
        <v>宇通客车</v>
      </c>
      <c r="D303" s="2" t="str">
        <f t="shared" si="119"/>
        <v>担保品买入</v>
      </c>
      <c r="E303" s="2">
        <v>16.66</v>
      </c>
      <c r="F303" s="2">
        <v>1000</v>
      </c>
      <c r="G303" s="2">
        <v>16660</v>
      </c>
      <c r="H303" s="2">
        <v>5.16</v>
      </c>
      <c r="I303" s="2">
        <v>3.67</v>
      </c>
      <c r="J303" s="2">
        <v>0</v>
      </c>
      <c r="K303" s="2">
        <v>0.6</v>
      </c>
      <c r="L303" s="2">
        <v>0</v>
      </c>
      <c r="M303" s="2">
        <v>0</v>
      </c>
      <c r="N303" s="2">
        <v>-16665.76</v>
      </c>
      <c r="O303" s="2">
        <v>9163.13</v>
      </c>
      <c r="P303" s="2">
        <v>11036</v>
      </c>
    </row>
    <row r="304" spans="1:16">
      <c r="A304" s="2" t="str">
        <f>"20150630"</f>
        <v>20150630</v>
      </c>
      <c r="B304" s="2" t="str">
        <f t="shared" si="121"/>
        <v>600219</v>
      </c>
      <c r="C304" s="2" t="str">
        <f t="shared" si="122"/>
        <v>南山铝业</v>
      </c>
      <c r="D304" s="2" t="str">
        <f t="shared" si="119"/>
        <v>担保品买入</v>
      </c>
      <c r="E304" s="2">
        <v>8.81</v>
      </c>
      <c r="F304" s="2">
        <v>1000</v>
      </c>
      <c r="G304" s="2">
        <v>8810</v>
      </c>
      <c r="H304" s="2">
        <v>5</v>
      </c>
      <c r="I304" s="2">
        <v>4.21</v>
      </c>
      <c r="J304" s="2">
        <v>0</v>
      </c>
      <c r="K304" s="2">
        <v>0.6</v>
      </c>
      <c r="L304" s="2">
        <v>0</v>
      </c>
      <c r="M304" s="2">
        <v>0</v>
      </c>
      <c r="N304" s="2">
        <v>-8815.6</v>
      </c>
      <c r="O304" s="2">
        <v>347.53</v>
      </c>
      <c r="P304" s="2">
        <v>2000</v>
      </c>
    </row>
    <row r="305" spans="1:16">
      <c r="A305" s="2" t="str">
        <f t="shared" ref="A305:A318" si="123">"20150701"</f>
        <v>20150701</v>
      </c>
      <c r="B305" s="2" t="str">
        <f t="shared" ref="B305:B309" si="124">"600066"</f>
        <v>600066</v>
      </c>
      <c r="C305" s="2" t="str">
        <f t="shared" ref="C305:C309" si="125">"宇通客车"</f>
        <v>宇通客车</v>
      </c>
      <c r="D305" s="2" t="str">
        <f t="shared" ref="D305:D308" si="126">"担保品卖出"</f>
        <v>担保品卖出</v>
      </c>
      <c r="E305" s="2">
        <v>20</v>
      </c>
      <c r="F305" s="2">
        <v>1000</v>
      </c>
      <c r="G305" s="2">
        <v>20000</v>
      </c>
      <c r="H305" s="2">
        <v>6.2</v>
      </c>
      <c r="I305" s="2">
        <v>4.41</v>
      </c>
      <c r="J305" s="2">
        <v>20</v>
      </c>
      <c r="K305" s="2">
        <v>0.6</v>
      </c>
      <c r="L305" s="2">
        <v>0</v>
      </c>
      <c r="M305" s="2">
        <v>0</v>
      </c>
      <c r="N305" s="2">
        <v>19973.2</v>
      </c>
      <c r="O305" s="2">
        <v>20320.73</v>
      </c>
      <c r="P305" s="2">
        <v>10036</v>
      </c>
    </row>
    <row r="306" spans="1:16">
      <c r="A306" s="2" t="str">
        <f t="shared" si="123"/>
        <v>20150701</v>
      </c>
      <c r="B306" s="2" t="str">
        <f t="shared" si="121"/>
        <v>600219</v>
      </c>
      <c r="C306" s="2" t="str">
        <f t="shared" si="122"/>
        <v>南山铝业</v>
      </c>
      <c r="D306" s="2" t="str">
        <f t="shared" si="126"/>
        <v>担保品卖出</v>
      </c>
      <c r="E306" s="2">
        <v>9.85</v>
      </c>
      <c r="F306" s="2">
        <v>1000</v>
      </c>
      <c r="G306" s="2">
        <v>9850</v>
      </c>
      <c r="H306" s="2">
        <v>5</v>
      </c>
      <c r="I306" s="2">
        <v>4.11</v>
      </c>
      <c r="J306" s="2">
        <v>9.85</v>
      </c>
      <c r="K306" s="2">
        <v>0.6</v>
      </c>
      <c r="L306" s="2">
        <v>0</v>
      </c>
      <c r="M306" s="2">
        <v>0</v>
      </c>
      <c r="N306" s="2">
        <v>9834.55</v>
      </c>
      <c r="O306" s="2">
        <v>30155.28</v>
      </c>
      <c r="P306" s="2">
        <v>1000</v>
      </c>
    </row>
    <row r="307" spans="1:16">
      <c r="A307" s="2" t="str">
        <f t="shared" si="123"/>
        <v>20150701</v>
      </c>
      <c r="B307" s="2" t="str">
        <f t="shared" si="121"/>
        <v>600219</v>
      </c>
      <c r="C307" s="2" t="str">
        <f t="shared" si="122"/>
        <v>南山铝业</v>
      </c>
      <c r="D307" s="2" t="str">
        <f>"担保品买入"</f>
        <v>担保品买入</v>
      </c>
      <c r="E307" s="2">
        <v>10.08</v>
      </c>
      <c r="F307" s="2">
        <v>1000</v>
      </c>
      <c r="G307" s="2">
        <v>10080</v>
      </c>
      <c r="H307" s="2">
        <v>5</v>
      </c>
      <c r="I307" s="2">
        <v>4.1</v>
      </c>
      <c r="J307" s="2">
        <v>0</v>
      </c>
      <c r="K307" s="2">
        <v>0.6</v>
      </c>
      <c r="L307" s="2">
        <v>0</v>
      </c>
      <c r="M307" s="2">
        <v>0</v>
      </c>
      <c r="N307" s="2">
        <v>-10085.6</v>
      </c>
      <c r="O307" s="2">
        <v>20069.68</v>
      </c>
      <c r="P307" s="2">
        <v>2000</v>
      </c>
    </row>
    <row r="308" spans="1:16">
      <c r="A308" s="2" t="str">
        <f t="shared" si="123"/>
        <v>20150701</v>
      </c>
      <c r="B308" s="2" t="str">
        <f t="shared" si="124"/>
        <v>600066</v>
      </c>
      <c r="C308" s="2" t="str">
        <f t="shared" si="125"/>
        <v>宇通客车</v>
      </c>
      <c r="D308" s="2" t="str">
        <f t="shared" si="126"/>
        <v>担保品卖出</v>
      </c>
      <c r="E308" s="2">
        <v>20.8</v>
      </c>
      <c r="F308" s="2">
        <v>1000</v>
      </c>
      <c r="G308" s="2">
        <v>20800</v>
      </c>
      <c r="H308" s="2">
        <v>6.45</v>
      </c>
      <c r="I308" s="2">
        <v>4.58</v>
      </c>
      <c r="J308" s="2">
        <v>20.8</v>
      </c>
      <c r="K308" s="2">
        <v>0.6</v>
      </c>
      <c r="L308" s="2">
        <v>0</v>
      </c>
      <c r="M308" s="2">
        <v>0</v>
      </c>
      <c r="N308" s="2">
        <v>20772.15</v>
      </c>
      <c r="O308" s="2">
        <v>40841.83</v>
      </c>
      <c r="P308" s="2">
        <v>9036</v>
      </c>
    </row>
    <row r="309" spans="1:16">
      <c r="A309" s="2" t="str">
        <f t="shared" si="123"/>
        <v>20150701</v>
      </c>
      <c r="B309" s="2" t="str">
        <f t="shared" si="124"/>
        <v>600066</v>
      </c>
      <c r="C309" s="2" t="str">
        <f t="shared" si="125"/>
        <v>宇通客车</v>
      </c>
      <c r="D309" s="2" t="str">
        <f>"融资买入"</f>
        <v>融资买入</v>
      </c>
      <c r="E309" s="2">
        <v>19.8</v>
      </c>
      <c r="F309" s="2">
        <v>500</v>
      </c>
      <c r="G309" s="2">
        <v>9900</v>
      </c>
      <c r="H309" s="2">
        <v>10.89</v>
      </c>
      <c r="I309" s="2">
        <v>10</v>
      </c>
      <c r="J309" s="2">
        <v>0</v>
      </c>
      <c r="K309" s="2">
        <v>0.3</v>
      </c>
      <c r="L309" s="2">
        <v>0</v>
      </c>
      <c r="M309" s="2">
        <v>0</v>
      </c>
      <c r="N309" s="2">
        <v>-9911.19</v>
      </c>
      <c r="O309" s="2">
        <v>30930.64</v>
      </c>
      <c r="P309" s="2">
        <v>9536</v>
      </c>
    </row>
    <row r="310" spans="1:16">
      <c r="A310" s="2" t="str">
        <f t="shared" si="123"/>
        <v>20150701</v>
      </c>
      <c r="B310" s="2"/>
      <c r="C310" s="2"/>
      <c r="D310" s="2" t="str">
        <f>"融资借入"</f>
        <v>融资借入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9911.19</v>
      </c>
      <c r="O310" s="2">
        <v>40841.83</v>
      </c>
      <c r="P310" s="2">
        <v>0</v>
      </c>
    </row>
    <row r="311" spans="1:16">
      <c r="A311" s="2" t="str">
        <f t="shared" si="123"/>
        <v>20150701</v>
      </c>
      <c r="B311" s="2"/>
      <c r="C311" s="2"/>
      <c r="D311" s="2" t="str">
        <f t="shared" ref="D311:D316" si="127">"偿还融资负债本金"</f>
        <v>偿还融资负债本金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-200.22</v>
      </c>
      <c r="O311" s="2">
        <v>40641.61</v>
      </c>
      <c r="P311" s="2">
        <v>0</v>
      </c>
    </row>
    <row r="312" spans="1:16">
      <c r="A312" s="2" t="str">
        <f t="shared" si="123"/>
        <v>20150701</v>
      </c>
      <c r="B312" s="2"/>
      <c r="C312" s="2"/>
      <c r="D312" s="2" t="str">
        <f t="shared" si="127"/>
        <v>偿还融资负债本金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-1791.72</v>
      </c>
      <c r="O312" s="2">
        <v>38849.89</v>
      </c>
      <c r="P312" s="2">
        <v>0</v>
      </c>
    </row>
    <row r="313" spans="1:16">
      <c r="A313" s="2" t="str">
        <f t="shared" si="123"/>
        <v>20150701</v>
      </c>
      <c r="B313" s="2"/>
      <c r="C313" s="2"/>
      <c r="D313" s="2" t="str">
        <f t="shared" si="127"/>
        <v>偿还融资负债本金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-13943.58</v>
      </c>
      <c r="O313" s="2">
        <v>24906.31</v>
      </c>
      <c r="P313" s="2">
        <v>0</v>
      </c>
    </row>
    <row r="314" spans="1:16">
      <c r="A314" s="2" t="str">
        <f t="shared" si="123"/>
        <v>20150701</v>
      </c>
      <c r="B314" s="2"/>
      <c r="C314" s="2"/>
      <c r="D314" s="2" t="str">
        <f t="shared" si="127"/>
        <v>偿还融资负债本金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-8635.98</v>
      </c>
      <c r="O314" s="2">
        <v>16270.33</v>
      </c>
      <c r="P314" s="2">
        <v>0</v>
      </c>
    </row>
    <row r="315" spans="1:16">
      <c r="A315" s="2" t="str">
        <f t="shared" si="123"/>
        <v>20150701</v>
      </c>
      <c r="B315" s="2"/>
      <c r="C315" s="2"/>
      <c r="D315" s="2" t="str">
        <f t="shared" si="127"/>
        <v>偿还融资负债本金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-3983.88</v>
      </c>
      <c r="O315" s="2">
        <v>12286.45</v>
      </c>
      <c r="P315" s="2">
        <v>0</v>
      </c>
    </row>
    <row r="316" spans="1:16">
      <c r="A316" s="2" t="str">
        <f t="shared" si="123"/>
        <v>20150701</v>
      </c>
      <c r="B316" s="2"/>
      <c r="C316" s="2"/>
      <c r="D316" s="2" t="str">
        <f t="shared" si="127"/>
        <v>偿还融资负债本金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-12080.22</v>
      </c>
      <c r="O316" s="2">
        <v>206.23</v>
      </c>
      <c r="P316" s="2">
        <v>0</v>
      </c>
    </row>
    <row r="317" spans="1:16">
      <c r="A317" s="2" t="str">
        <f t="shared" si="123"/>
        <v>20150701</v>
      </c>
      <c r="B317" s="2"/>
      <c r="C317" s="2"/>
      <c r="D317" s="2" t="str">
        <f>"偿还融资利息"</f>
        <v>偿还融资利息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-0.58</v>
      </c>
      <c r="O317" s="2">
        <v>205.65</v>
      </c>
      <c r="P317" s="2">
        <v>0</v>
      </c>
    </row>
    <row r="318" spans="1:16">
      <c r="A318" s="2" t="str">
        <f t="shared" si="123"/>
        <v>20150701</v>
      </c>
      <c r="B318" s="2"/>
      <c r="C318" s="2"/>
      <c r="D318" s="2" t="str">
        <f>"偿还融资利息"</f>
        <v>偿还融资利息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-78.94</v>
      </c>
      <c r="O318" s="2">
        <v>126.71</v>
      </c>
      <c r="P318" s="2">
        <v>0</v>
      </c>
    </row>
    <row r="319" spans="1:16">
      <c r="A319" s="2" t="str">
        <f>"20150702"</f>
        <v>20150702</v>
      </c>
      <c r="B319" s="2" t="str">
        <f>"600066"</f>
        <v>600066</v>
      </c>
      <c r="C319" s="2" t="str">
        <f>"宇通客车"</f>
        <v>宇通客车</v>
      </c>
      <c r="D319" s="2" t="str">
        <f>"股息红利差异扣税"</f>
        <v>股息红利差异扣税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-37.5</v>
      </c>
      <c r="O319" s="2">
        <v>89.21</v>
      </c>
      <c r="P319" s="2">
        <v>0</v>
      </c>
    </row>
    <row r="320" spans="1:16">
      <c r="A320" s="2" t="str">
        <f t="shared" ref="A320:A325" si="128">"20150703"</f>
        <v>20150703</v>
      </c>
      <c r="B320" s="2" t="str">
        <f>"600219"</f>
        <v>600219</v>
      </c>
      <c r="C320" s="2" t="str">
        <f>"南山铝业"</f>
        <v>南山铝业</v>
      </c>
      <c r="D320" s="2" t="str">
        <f>"融资买入"</f>
        <v>融资买入</v>
      </c>
      <c r="E320" s="2">
        <v>7.97</v>
      </c>
      <c r="F320" s="2">
        <v>1000</v>
      </c>
      <c r="G320" s="2">
        <v>7970</v>
      </c>
      <c r="H320" s="2">
        <v>8.77</v>
      </c>
      <c r="I320" s="2">
        <v>8.06</v>
      </c>
      <c r="J320" s="2">
        <v>0</v>
      </c>
      <c r="K320" s="2">
        <v>0.6</v>
      </c>
      <c r="L320" s="2">
        <v>0</v>
      </c>
      <c r="M320" s="2">
        <v>0</v>
      </c>
      <c r="N320" s="2">
        <v>-7979.37</v>
      </c>
      <c r="O320" s="2">
        <v>-7890.16</v>
      </c>
      <c r="P320" s="2">
        <v>3000</v>
      </c>
    </row>
    <row r="321" spans="1:16">
      <c r="A321" s="2" t="str">
        <f t="shared" si="128"/>
        <v>20150703</v>
      </c>
      <c r="B321" s="2" t="str">
        <f>"600219"</f>
        <v>600219</v>
      </c>
      <c r="C321" s="2" t="str">
        <f>"南山铝业"</f>
        <v>南山铝业</v>
      </c>
      <c r="D321" s="2" t="str">
        <f>"担保品卖出"</f>
        <v>担保品卖出</v>
      </c>
      <c r="E321" s="2">
        <v>8.51</v>
      </c>
      <c r="F321" s="2">
        <v>1000</v>
      </c>
      <c r="G321" s="2">
        <v>8510</v>
      </c>
      <c r="H321" s="2">
        <v>5</v>
      </c>
      <c r="I321" s="2">
        <v>4.24</v>
      </c>
      <c r="J321" s="2">
        <v>8.51</v>
      </c>
      <c r="K321" s="2">
        <v>0.6</v>
      </c>
      <c r="L321" s="2">
        <v>0</v>
      </c>
      <c r="M321" s="2">
        <v>0</v>
      </c>
      <c r="N321" s="2">
        <v>8495.89</v>
      </c>
      <c r="O321" s="2">
        <v>605.73</v>
      </c>
      <c r="P321" s="2">
        <v>2000</v>
      </c>
    </row>
    <row r="322" spans="1:16">
      <c r="A322" s="2" t="str">
        <f t="shared" si="128"/>
        <v>20150703</v>
      </c>
      <c r="B322" s="2" t="str">
        <f t="shared" ref="B322:B327" si="129">"600066"</f>
        <v>600066</v>
      </c>
      <c r="C322" s="2" t="str">
        <f t="shared" ref="C322:C327" si="130">"宇通客车"</f>
        <v>宇通客车</v>
      </c>
      <c r="D322" s="2" t="str">
        <f>"担保品卖出"</f>
        <v>担保品卖出</v>
      </c>
      <c r="E322" s="2">
        <v>20.16</v>
      </c>
      <c r="F322" s="2">
        <v>500</v>
      </c>
      <c r="G322" s="2">
        <v>10080</v>
      </c>
      <c r="H322" s="2">
        <v>5</v>
      </c>
      <c r="I322" s="2">
        <v>4.1</v>
      </c>
      <c r="J322" s="2">
        <v>10.08</v>
      </c>
      <c r="K322" s="2">
        <v>0.3</v>
      </c>
      <c r="L322" s="2">
        <v>0</v>
      </c>
      <c r="M322" s="2">
        <v>0</v>
      </c>
      <c r="N322" s="2">
        <v>10064.62</v>
      </c>
      <c r="O322" s="2">
        <v>10670.35</v>
      </c>
      <c r="P322" s="2">
        <v>9036</v>
      </c>
    </row>
    <row r="323" spans="1:16">
      <c r="A323" s="2" t="str">
        <f t="shared" si="128"/>
        <v>20150703</v>
      </c>
      <c r="B323" s="2"/>
      <c r="C323" s="2"/>
      <c r="D323" s="2" t="str">
        <f>"融资借入"</f>
        <v>融资借入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7979.37</v>
      </c>
      <c r="O323" s="2">
        <v>18649.72</v>
      </c>
      <c r="P323" s="2">
        <v>0</v>
      </c>
    </row>
    <row r="324" spans="1:16">
      <c r="A324" s="2" t="str">
        <f t="shared" si="128"/>
        <v>20150703</v>
      </c>
      <c r="B324" s="2"/>
      <c r="C324" s="2"/>
      <c r="D324" s="2" t="str">
        <f t="shared" ref="D324:D330" si="131">"偿还融资负债本金"</f>
        <v>偿还融资负债本金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-10039.38</v>
      </c>
      <c r="O324" s="2">
        <v>8610.34</v>
      </c>
      <c r="P324" s="2">
        <v>0</v>
      </c>
    </row>
    <row r="325" spans="1:16">
      <c r="A325" s="2" t="str">
        <f t="shared" si="128"/>
        <v>20150703</v>
      </c>
      <c r="B325" s="2"/>
      <c r="C325" s="2"/>
      <c r="D325" s="2" t="str">
        <f t="shared" si="131"/>
        <v>偿还融资负债本金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-7979.37</v>
      </c>
      <c r="O325" s="2">
        <v>630.97</v>
      </c>
      <c r="P325" s="2">
        <v>0</v>
      </c>
    </row>
    <row r="326" spans="1:16">
      <c r="A326" s="2" t="str">
        <f t="shared" ref="A326:A331" si="132">"20150706"</f>
        <v>20150706</v>
      </c>
      <c r="B326" s="2" t="str">
        <f t="shared" si="129"/>
        <v>600066</v>
      </c>
      <c r="C326" s="2" t="str">
        <f t="shared" si="130"/>
        <v>宇通客车</v>
      </c>
      <c r="D326" s="2" t="str">
        <f>"融资买入"</f>
        <v>融资买入</v>
      </c>
      <c r="E326" s="2">
        <v>19.56</v>
      </c>
      <c r="F326" s="2">
        <v>500</v>
      </c>
      <c r="G326" s="2">
        <v>9780</v>
      </c>
      <c r="H326" s="2">
        <v>10.76</v>
      </c>
      <c r="I326" s="2">
        <v>9.88</v>
      </c>
      <c r="J326" s="2">
        <v>0</v>
      </c>
      <c r="K326" s="2">
        <v>0.3</v>
      </c>
      <c r="L326" s="2">
        <v>0</v>
      </c>
      <c r="M326" s="2">
        <v>0</v>
      </c>
      <c r="N326" s="2">
        <v>-9791.06</v>
      </c>
      <c r="O326" s="2">
        <v>-9160.09</v>
      </c>
      <c r="P326" s="2">
        <v>9536</v>
      </c>
    </row>
    <row r="327" spans="1:16">
      <c r="A327" s="2" t="str">
        <f t="shared" si="132"/>
        <v>20150706</v>
      </c>
      <c r="B327" s="2" t="str">
        <f t="shared" si="129"/>
        <v>600066</v>
      </c>
      <c r="C327" s="2" t="str">
        <f t="shared" si="130"/>
        <v>宇通客车</v>
      </c>
      <c r="D327" s="2" t="str">
        <f>"担保品卖出"</f>
        <v>担保品卖出</v>
      </c>
      <c r="E327" s="2">
        <v>19.95</v>
      </c>
      <c r="F327" s="2">
        <v>500</v>
      </c>
      <c r="G327" s="2">
        <v>9975</v>
      </c>
      <c r="H327" s="2">
        <v>5</v>
      </c>
      <c r="I327" s="2">
        <v>4.11</v>
      </c>
      <c r="J327" s="2">
        <v>9.98</v>
      </c>
      <c r="K327" s="2">
        <v>0.3</v>
      </c>
      <c r="L327" s="2">
        <v>0</v>
      </c>
      <c r="M327" s="2">
        <v>0</v>
      </c>
      <c r="N327" s="2">
        <v>9959.72</v>
      </c>
      <c r="O327" s="2">
        <v>799.63</v>
      </c>
      <c r="P327" s="2">
        <v>9036</v>
      </c>
    </row>
    <row r="328" spans="1:16">
      <c r="A328" s="2" t="str">
        <f t="shared" si="132"/>
        <v>20150706</v>
      </c>
      <c r="B328" s="2"/>
      <c r="C328" s="2"/>
      <c r="D328" s="2" t="str">
        <f>"融资借入"</f>
        <v>融资借入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9791.06</v>
      </c>
      <c r="O328" s="2">
        <v>10590.69</v>
      </c>
      <c r="P328" s="2">
        <v>0</v>
      </c>
    </row>
    <row r="329" spans="1:16">
      <c r="A329" s="2" t="str">
        <f t="shared" si="132"/>
        <v>20150706</v>
      </c>
      <c r="B329" s="2"/>
      <c r="C329" s="2"/>
      <c r="D329" s="2" t="str">
        <f t="shared" si="131"/>
        <v>偿还融资负债本金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-2916.63</v>
      </c>
      <c r="O329" s="2">
        <v>7674.06</v>
      </c>
      <c r="P329" s="2">
        <v>0</v>
      </c>
    </row>
    <row r="330" spans="1:16">
      <c r="A330" s="2" t="str">
        <f t="shared" si="132"/>
        <v>20150706</v>
      </c>
      <c r="B330" s="2"/>
      <c r="C330" s="2"/>
      <c r="D330" s="2" t="str">
        <f t="shared" si="131"/>
        <v>偿还融资负债本金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-7018.16</v>
      </c>
      <c r="O330" s="2">
        <v>655.9</v>
      </c>
      <c r="P330" s="2">
        <v>0</v>
      </c>
    </row>
    <row r="331" spans="1:16">
      <c r="A331" s="2" t="str">
        <f t="shared" si="132"/>
        <v>20150706</v>
      </c>
      <c r="B331" s="2"/>
      <c r="C331" s="2"/>
      <c r="D331" s="2" t="str">
        <f>"偿还融资利息"</f>
        <v>偿还融资利息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-77.75</v>
      </c>
      <c r="O331" s="2">
        <v>578.15</v>
      </c>
      <c r="P331" s="2">
        <v>0</v>
      </c>
    </row>
    <row r="332" spans="1:16">
      <c r="A332" s="2" t="str">
        <f t="shared" ref="A332:A350" si="133">"20150707"</f>
        <v>20150707</v>
      </c>
      <c r="B332" s="2" t="str">
        <f t="shared" ref="B332:B334" si="134">"600066"</f>
        <v>600066</v>
      </c>
      <c r="C332" s="2" t="str">
        <f t="shared" ref="C332:C334" si="135">"宇通客车"</f>
        <v>宇通客车</v>
      </c>
      <c r="D332" s="2" t="str">
        <f t="shared" ref="D332:D335" si="136">"融资买入"</f>
        <v>融资买入</v>
      </c>
      <c r="E332" s="2">
        <v>19.46</v>
      </c>
      <c r="F332" s="2">
        <v>500</v>
      </c>
      <c r="G332" s="2">
        <v>9730</v>
      </c>
      <c r="H332" s="2">
        <v>10.7</v>
      </c>
      <c r="I332" s="2">
        <v>9.83</v>
      </c>
      <c r="J332" s="2">
        <v>0</v>
      </c>
      <c r="K332" s="2">
        <v>0.3</v>
      </c>
      <c r="L332" s="2">
        <v>0</v>
      </c>
      <c r="M332" s="2">
        <v>0</v>
      </c>
      <c r="N332" s="2">
        <v>-9741</v>
      </c>
      <c r="O332" s="2">
        <v>-9162.85</v>
      </c>
      <c r="P332" s="2">
        <v>9536</v>
      </c>
    </row>
    <row r="333" spans="1:16">
      <c r="A333" s="2" t="str">
        <f t="shared" si="133"/>
        <v>20150707</v>
      </c>
      <c r="B333" s="2" t="str">
        <f t="shared" si="134"/>
        <v>600066</v>
      </c>
      <c r="C333" s="2" t="str">
        <f t="shared" si="135"/>
        <v>宇通客车</v>
      </c>
      <c r="D333" s="2" t="str">
        <f>"担保品卖出"</f>
        <v>担保品卖出</v>
      </c>
      <c r="E333" s="2">
        <v>19.17</v>
      </c>
      <c r="F333" s="2">
        <v>5000</v>
      </c>
      <c r="G333" s="2">
        <v>95850</v>
      </c>
      <c r="H333" s="2">
        <v>29.71</v>
      </c>
      <c r="I333" s="2">
        <v>21.12</v>
      </c>
      <c r="J333" s="2">
        <v>95.85</v>
      </c>
      <c r="K333" s="2">
        <v>3</v>
      </c>
      <c r="L333" s="2">
        <v>0</v>
      </c>
      <c r="M333" s="2">
        <v>0</v>
      </c>
      <c r="N333" s="2">
        <v>95721.44</v>
      </c>
      <c r="O333" s="2">
        <v>86558.59</v>
      </c>
      <c r="P333" s="2">
        <v>4536</v>
      </c>
    </row>
    <row r="334" spans="1:16">
      <c r="A334" s="2" t="str">
        <f t="shared" si="133"/>
        <v>20150707</v>
      </c>
      <c r="B334" s="2" t="str">
        <f t="shared" si="134"/>
        <v>600066</v>
      </c>
      <c r="C334" s="2" t="str">
        <f t="shared" si="135"/>
        <v>宇通客车</v>
      </c>
      <c r="D334" s="2" t="str">
        <f t="shared" si="136"/>
        <v>融资买入</v>
      </c>
      <c r="E334" s="2">
        <v>19.9</v>
      </c>
      <c r="F334" s="2">
        <v>5000</v>
      </c>
      <c r="G334" s="2">
        <v>99500</v>
      </c>
      <c r="H334" s="2">
        <v>109.45</v>
      </c>
      <c r="I334" s="2">
        <v>100.53</v>
      </c>
      <c r="J334" s="2">
        <v>0</v>
      </c>
      <c r="K334" s="2">
        <v>3</v>
      </c>
      <c r="L334" s="2">
        <v>0</v>
      </c>
      <c r="M334" s="2">
        <v>0</v>
      </c>
      <c r="N334" s="2">
        <v>-99612.45</v>
      </c>
      <c r="O334" s="2">
        <v>-13053.86</v>
      </c>
      <c r="P334" s="2">
        <v>9536</v>
      </c>
    </row>
    <row r="335" spans="1:16">
      <c r="A335" s="2" t="str">
        <f t="shared" si="133"/>
        <v>20150707</v>
      </c>
      <c r="B335" s="2" t="str">
        <f>"600219"</f>
        <v>600219</v>
      </c>
      <c r="C335" s="2" t="str">
        <f>"南山铝业"</f>
        <v>南山铝业</v>
      </c>
      <c r="D335" s="2" t="str">
        <f t="shared" si="136"/>
        <v>融资买入</v>
      </c>
      <c r="E335" s="2">
        <v>7.45</v>
      </c>
      <c r="F335" s="2">
        <v>2000</v>
      </c>
      <c r="G335" s="2">
        <v>14900</v>
      </c>
      <c r="H335" s="2">
        <v>16.39</v>
      </c>
      <c r="I335" s="2">
        <v>15.05</v>
      </c>
      <c r="J335" s="2">
        <v>0</v>
      </c>
      <c r="K335" s="2">
        <v>1.2</v>
      </c>
      <c r="L335" s="2">
        <v>0</v>
      </c>
      <c r="M335" s="2">
        <v>0</v>
      </c>
      <c r="N335" s="2">
        <v>-14917.59</v>
      </c>
      <c r="O335" s="2">
        <v>-27971.45</v>
      </c>
      <c r="P335" s="2">
        <v>4000</v>
      </c>
    </row>
    <row r="336" spans="1:16">
      <c r="A336" s="2" t="str">
        <f t="shared" si="133"/>
        <v>20150707</v>
      </c>
      <c r="B336" s="2" t="str">
        <f>"150181"</f>
        <v>150181</v>
      </c>
      <c r="C336" s="2" t="str">
        <f>"军工A"</f>
        <v>军工A</v>
      </c>
      <c r="D336" s="2" t="str">
        <f>"担保品卖出"</f>
        <v>担保品卖出</v>
      </c>
      <c r="E336" s="2">
        <v>0.818</v>
      </c>
      <c r="F336" s="2">
        <v>34600</v>
      </c>
      <c r="G336" s="2">
        <v>28302.8</v>
      </c>
      <c r="H336" s="2">
        <v>8.77</v>
      </c>
      <c r="I336" s="2">
        <v>6.01</v>
      </c>
      <c r="J336" s="2">
        <v>0</v>
      </c>
      <c r="K336" s="2">
        <v>0</v>
      </c>
      <c r="L336" s="2">
        <v>0</v>
      </c>
      <c r="M336" s="2">
        <v>0</v>
      </c>
      <c r="N336" s="2">
        <v>28294.03</v>
      </c>
      <c r="O336" s="2">
        <v>322.58</v>
      </c>
      <c r="P336" s="2">
        <v>71634</v>
      </c>
    </row>
    <row r="337" spans="1:16">
      <c r="A337" s="2" t="str">
        <f t="shared" si="133"/>
        <v>20150707</v>
      </c>
      <c r="B337" s="2"/>
      <c r="C337" s="2"/>
      <c r="D337" s="2" t="str">
        <f t="shared" ref="D337:D339" si="137">"融资借入"</f>
        <v>融资借入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9741</v>
      </c>
      <c r="O337" s="2">
        <v>10063.58</v>
      </c>
      <c r="P337" s="2">
        <v>0</v>
      </c>
    </row>
    <row r="338" spans="1:16">
      <c r="A338" s="2" t="str">
        <f t="shared" si="133"/>
        <v>20150707</v>
      </c>
      <c r="B338" s="2"/>
      <c r="C338" s="2"/>
      <c r="D338" s="2" t="str">
        <f t="shared" si="137"/>
        <v>融资借入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99612.45</v>
      </c>
      <c r="O338" s="2">
        <v>109676.03</v>
      </c>
      <c r="P338" s="2">
        <v>0</v>
      </c>
    </row>
    <row r="339" spans="1:16">
      <c r="A339" s="2" t="str">
        <f t="shared" si="133"/>
        <v>20150707</v>
      </c>
      <c r="B339" s="2"/>
      <c r="C339" s="2"/>
      <c r="D339" s="2" t="str">
        <f t="shared" si="137"/>
        <v>融资借入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14917.59</v>
      </c>
      <c r="O339" s="2">
        <v>124593.62</v>
      </c>
      <c r="P339" s="2">
        <v>0</v>
      </c>
    </row>
    <row r="340" spans="1:16">
      <c r="A340" s="2" t="str">
        <f t="shared" si="133"/>
        <v>20150707</v>
      </c>
      <c r="B340" s="2"/>
      <c r="C340" s="2"/>
      <c r="D340" s="2" t="str">
        <f t="shared" ref="D340:D345" si="138">"偿还融资负债本金"</f>
        <v>偿还融资负债本金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-14205.76</v>
      </c>
      <c r="O340" s="2">
        <v>110387.86</v>
      </c>
      <c r="P340" s="2">
        <v>0</v>
      </c>
    </row>
    <row r="341" spans="1:16">
      <c r="A341" s="2" t="str">
        <f t="shared" si="133"/>
        <v>20150707</v>
      </c>
      <c r="B341" s="2"/>
      <c r="C341" s="2"/>
      <c r="D341" s="2" t="str">
        <f t="shared" si="138"/>
        <v>偿还融资负债本金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-20653.29</v>
      </c>
      <c r="O341" s="2">
        <v>89734.57</v>
      </c>
      <c r="P341" s="2">
        <v>0</v>
      </c>
    </row>
    <row r="342" spans="1:16">
      <c r="A342" s="2" t="str">
        <f t="shared" si="133"/>
        <v>20150707</v>
      </c>
      <c r="B342" s="2"/>
      <c r="C342" s="2"/>
      <c r="D342" s="2" t="str">
        <f t="shared" si="138"/>
        <v>偿还融资负债本金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-20433.05</v>
      </c>
      <c r="O342" s="2">
        <v>69301.52</v>
      </c>
      <c r="P342" s="2">
        <v>0</v>
      </c>
    </row>
    <row r="343" spans="1:16">
      <c r="A343" s="2" t="str">
        <f t="shared" si="133"/>
        <v>20150707</v>
      </c>
      <c r="B343" s="2"/>
      <c r="C343" s="2"/>
      <c r="D343" s="2" t="str">
        <f t="shared" si="138"/>
        <v>偿还融资负债本金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-9911.19</v>
      </c>
      <c r="O343" s="2">
        <v>59390.33</v>
      </c>
      <c r="P343" s="2">
        <v>0</v>
      </c>
    </row>
    <row r="344" spans="1:16">
      <c r="A344" s="2" t="str">
        <f t="shared" si="133"/>
        <v>20150707</v>
      </c>
      <c r="B344" s="2"/>
      <c r="C344" s="2"/>
      <c r="D344" s="2" t="str">
        <f t="shared" si="138"/>
        <v>偿还融资负债本金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-9791.06</v>
      </c>
      <c r="O344" s="2">
        <v>49599.27</v>
      </c>
      <c r="P344" s="2">
        <v>0</v>
      </c>
    </row>
    <row r="345" spans="1:16">
      <c r="A345" s="2" t="str">
        <f t="shared" si="133"/>
        <v>20150707</v>
      </c>
      <c r="B345" s="2"/>
      <c r="C345" s="2"/>
      <c r="D345" s="2" t="str">
        <f t="shared" si="138"/>
        <v>偿还融资负债本金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-9741</v>
      </c>
      <c r="O345" s="2">
        <v>39858.27</v>
      </c>
      <c r="P345" s="2">
        <v>0</v>
      </c>
    </row>
    <row r="346" spans="1:16">
      <c r="A346" s="2" t="str">
        <f t="shared" si="133"/>
        <v>20150707</v>
      </c>
      <c r="B346" s="2"/>
      <c r="C346" s="2"/>
      <c r="D346" s="2" t="str">
        <f t="shared" ref="D346:D350" si="139">"偿还融资利息"</f>
        <v>偿还融资利息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-86.96</v>
      </c>
      <c r="O346" s="2">
        <v>39771.31</v>
      </c>
      <c r="P346" s="2">
        <v>0</v>
      </c>
    </row>
    <row r="347" spans="1:16">
      <c r="A347" s="2" t="str">
        <f t="shared" si="133"/>
        <v>20150707</v>
      </c>
      <c r="B347" s="2"/>
      <c r="C347" s="2"/>
      <c r="D347" s="2" t="str">
        <f t="shared" si="139"/>
        <v>偿还融资利息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-86.22</v>
      </c>
      <c r="O347" s="2">
        <v>39685.09</v>
      </c>
      <c r="P347" s="2">
        <v>0</v>
      </c>
    </row>
    <row r="348" spans="1:16">
      <c r="A348" s="2" t="str">
        <f t="shared" si="133"/>
        <v>20150707</v>
      </c>
      <c r="B348" s="2"/>
      <c r="C348" s="2"/>
      <c r="D348" s="2" t="str">
        <f t="shared" si="139"/>
        <v>偿还融资利息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-66.36</v>
      </c>
      <c r="O348" s="2">
        <v>39618.73</v>
      </c>
      <c r="P348" s="2">
        <v>0</v>
      </c>
    </row>
    <row r="349" spans="1:16">
      <c r="A349" s="2" t="str">
        <f t="shared" si="133"/>
        <v>20150707</v>
      </c>
      <c r="B349" s="2"/>
      <c r="C349" s="2"/>
      <c r="D349" s="2" t="str">
        <f t="shared" si="139"/>
        <v>偿还融资利息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-13.8</v>
      </c>
      <c r="O349" s="2">
        <v>39604.93</v>
      </c>
      <c r="P349" s="2">
        <v>0</v>
      </c>
    </row>
    <row r="350" spans="1:16">
      <c r="A350" s="2" t="str">
        <f t="shared" si="133"/>
        <v>20150707</v>
      </c>
      <c r="B350" s="2"/>
      <c r="C350" s="2"/>
      <c r="D350" s="2" t="str">
        <f t="shared" si="139"/>
        <v>偿还融资利息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-2.27</v>
      </c>
      <c r="O350" s="2">
        <v>39602.66</v>
      </c>
      <c r="P350" s="2">
        <v>0</v>
      </c>
    </row>
    <row r="351" spans="1:16">
      <c r="A351" s="2" t="str">
        <f t="shared" ref="A351:A353" si="140">"20150708"</f>
        <v>20150708</v>
      </c>
      <c r="B351" s="2" t="str">
        <f>"150181"</f>
        <v>150181</v>
      </c>
      <c r="C351" s="2" t="str">
        <f>"军工A"</f>
        <v>军工A</v>
      </c>
      <c r="D351" s="2" t="str">
        <f>"担保品买入"</f>
        <v>担保品买入</v>
      </c>
      <c r="E351" s="2">
        <v>0.8</v>
      </c>
      <c r="F351" s="2">
        <v>30000</v>
      </c>
      <c r="G351" s="2">
        <v>24000</v>
      </c>
      <c r="H351" s="2">
        <v>7.44</v>
      </c>
      <c r="I351" s="2">
        <v>5.1</v>
      </c>
      <c r="J351" s="2">
        <v>0</v>
      </c>
      <c r="K351" s="2">
        <v>0</v>
      </c>
      <c r="L351" s="2">
        <v>0</v>
      </c>
      <c r="M351" s="2">
        <v>0</v>
      </c>
      <c r="N351" s="2">
        <v>-24007.44</v>
      </c>
      <c r="O351" s="2">
        <v>15595.22</v>
      </c>
      <c r="P351" s="2">
        <v>101634</v>
      </c>
    </row>
    <row r="352" spans="1:16">
      <c r="A352" s="2" t="str">
        <f t="shared" si="140"/>
        <v>20150708</v>
      </c>
      <c r="B352" s="2" t="str">
        <f t="shared" ref="B352:B356" si="141">"600066"</f>
        <v>600066</v>
      </c>
      <c r="C352" s="2" t="str">
        <f t="shared" ref="C352:C356" si="142">"宇通客车"</f>
        <v>宇通客车</v>
      </c>
      <c r="D352" s="2" t="str">
        <f>"融资买入"</f>
        <v>融资买入</v>
      </c>
      <c r="E352" s="2">
        <v>17.9</v>
      </c>
      <c r="F352" s="2">
        <v>500</v>
      </c>
      <c r="G352" s="2">
        <v>8950</v>
      </c>
      <c r="H352" s="2">
        <v>9.85</v>
      </c>
      <c r="I352" s="2">
        <v>9.05</v>
      </c>
      <c r="J352" s="2">
        <v>0</v>
      </c>
      <c r="K352" s="2">
        <v>0.3</v>
      </c>
      <c r="L352" s="2">
        <v>0</v>
      </c>
      <c r="M352" s="2">
        <v>0</v>
      </c>
      <c r="N352" s="2">
        <v>-8960.15</v>
      </c>
      <c r="O352" s="2">
        <v>6635.07</v>
      </c>
      <c r="P352" s="2">
        <v>10036</v>
      </c>
    </row>
    <row r="353" spans="1:16">
      <c r="A353" s="2" t="str">
        <f t="shared" si="140"/>
        <v>20150708</v>
      </c>
      <c r="B353" s="2"/>
      <c r="C353" s="2"/>
      <c r="D353" s="2" t="str">
        <f>"融资借入"</f>
        <v>融资借入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8960.15</v>
      </c>
      <c r="O353" s="2">
        <v>15595.22</v>
      </c>
      <c r="P353" s="2">
        <v>0</v>
      </c>
    </row>
    <row r="354" spans="1:16">
      <c r="A354" s="2" t="str">
        <f t="shared" ref="A354:A359" si="143">"20150709"</f>
        <v>20150709</v>
      </c>
      <c r="B354" s="2" t="str">
        <f t="shared" si="141"/>
        <v>600066</v>
      </c>
      <c r="C354" s="2" t="str">
        <f t="shared" si="142"/>
        <v>宇通客车</v>
      </c>
      <c r="D354" s="2" t="str">
        <f>"融资买入"</f>
        <v>融资买入</v>
      </c>
      <c r="E354" s="2">
        <v>16.11</v>
      </c>
      <c r="F354" s="2">
        <v>500</v>
      </c>
      <c r="G354" s="2">
        <v>8055</v>
      </c>
      <c r="H354" s="2">
        <v>8.86</v>
      </c>
      <c r="I354" s="2">
        <v>8.14</v>
      </c>
      <c r="J354" s="2">
        <v>0</v>
      </c>
      <c r="K354" s="2">
        <v>0.3</v>
      </c>
      <c r="L354" s="2">
        <v>0</v>
      </c>
      <c r="M354" s="2">
        <v>0</v>
      </c>
      <c r="N354" s="2">
        <v>-8064.16</v>
      </c>
      <c r="O354" s="2">
        <v>7531.06</v>
      </c>
      <c r="P354" s="2">
        <v>10536</v>
      </c>
    </row>
    <row r="355" spans="1:16">
      <c r="A355" s="2" t="str">
        <f t="shared" si="143"/>
        <v>20150709</v>
      </c>
      <c r="B355" s="2" t="str">
        <f t="shared" si="141"/>
        <v>600066</v>
      </c>
      <c r="C355" s="2" t="str">
        <f t="shared" si="142"/>
        <v>宇通客车</v>
      </c>
      <c r="D355" s="2" t="str">
        <f t="shared" ref="D355:D361" si="144">"担保品卖出"</f>
        <v>担保品卖出</v>
      </c>
      <c r="E355" s="2">
        <v>19.18</v>
      </c>
      <c r="F355" s="2">
        <v>500</v>
      </c>
      <c r="G355" s="2">
        <v>9590</v>
      </c>
      <c r="H355" s="2">
        <v>5</v>
      </c>
      <c r="I355" s="2">
        <v>4.14</v>
      </c>
      <c r="J355" s="2">
        <v>9.59</v>
      </c>
      <c r="K355" s="2">
        <v>0.3</v>
      </c>
      <c r="L355" s="2">
        <v>0</v>
      </c>
      <c r="M355" s="2">
        <v>0</v>
      </c>
      <c r="N355" s="2">
        <v>9575.11</v>
      </c>
      <c r="O355" s="2">
        <v>17106.17</v>
      </c>
      <c r="P355" s="2">
        <v>10036</v>
      </c>
    </row>
    <row r="356" spans="1:16">
      <c r="A356" s="2" t="str">
        <f t="shared" si="143"/>
        <v>20150709</v>
      </c>
      <c r="B356" s="2" t="str">
        <f t="shared" si="141"/>
        <v>600066</v>
      </c>
      <c r="C356" s="2" t="str">
        <f t="shared" si="142"/>
        <v>宇通客车</v>
      </c>
      <c r="D356" s="2" t="str">
        <f t="shared" si="144"/>
        <v>担保品卖出</v>
      </c>
      <c r="E356" s="2">
        <v>19.19</v>
      </c>
      <c r="F356" s="2">
        <v>500</v>
      </c>
      <c r="G356" s="2">
        <v>9595</v>
      </c>
      <c r="H356" s="2">
        <v>5</v>
      </c>
      <c r="I356" s="2">
        <v>4.14</v>
      </c>
      <c r="J356" s="2">
        <v>9.6</v>
      </c>
      <c r="K356" s="2">
        <v>0.3</v>
      </c>
      <c r="L356" s="2">
        <v>0</v>
      </c>
      <c r="M356" s="2">
        <v>0</v>
      </c>
      <c r="N356" s="2">
        <v>9580.1</v>
      </c>
      <c r="O356" s="2">
        <v>26686.27</v>
      </c>
      <c r="P356" s="2">
        <v>9536</v>
      </c>
    </row>
    <row r="357" spans="1:16">
      <c r="A357" s="2" t="str">
        <f t="shared" si="143"/>
        <v>20150709</v>
      </c>
      <c r="B357" s="2"/>
      <c r="C357" s="2"/>
      <c r="D357" s="2" t="str">
        <f>"融资借入"</f>
        <v>融资借入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8064.16</v>
      </c>
      <c r="O357" s="2">
        <v>34750.43</v>
      </c>
      <c r="P357" s="2">
        <v>0</v>
      </c>
    </row>
    <row r="358" spans="1:16">
      <c r="A358" s="2" t="str">
        <f t="shared" si="143"/>
        <v>20150709</v>
      </c>
      <c r="B358" s="2"/>
      <c r="C358" s="2"/>
      <c r="D358" s="2" t="str">
        <f t="shared" ref="D358:D362" si="145">"偿还融资负债本金"</f>
        <v>偿还融资负债本金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-9551.34</v>
      </c>
      <c r="O358" s="2">
        <v>25199.09</v>
      </c>
      <c r="P358" s="2">
        <v>0</v>
      </c>
    </row>
    <row r="359" spans="1:16">
      <c r="A359" s="2" t="str">
        <f t="shared" si="143"/>
        <v>20150709</v>
      </c>
      <c r="B359" s="2"/>
      <c r="C359" s="2"/>
      <c r="D359" s="2" t="str">
        <f t="shared" si="145"/>
        <v>偿还融资负债本金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-9556.31</v>
      </c>
      <c r="O359" s="2">
        <v>15642.78</v>
      </c>
      <c r="P359" s="2">
        <v>0</v>
      </c>
    </row>
    <row r="360" spans="1:16">
      <c r="A360" s="2" t="str">
        <f t="shared" ref="A360:A365" si="146">"20150710"</f>
        <v>20150710</v>
      </c>
      <c r="B360" s="2" t="str">
        <f>"600066"</f>
        <v>600066</v>
      </c>
      <c r="C360" s="2" t="str">
        <f>"宇通客车"</f>
        <v>宇通客车</v>
      </c>
      <c r="D360" s="2" t="str">
        <f t="shared" si="144"/>
        <v>担保品卖出</v>
      </c>
      <c r="E360" s="2">
        <v>20.89</v>
      </c>
      <c r="F360" s="2">
        <v>500</v>
      </c>
      <c r="G360" s="2">
        <v>10445</v>
      </c>
      <c r="H360" s="2">
        <v>5</v>
      </c>
      <c r="I360" s="2">
        <v>4.06</v>
      </c>
      <c r="J360" s="2">
        <v>10.45</v>
      </c>
      <c r="K360" s="2">
        <v>0.3</v>
      </c>
      <c r="L360" s="2">
        <v>0</v>
      </c>
      <c r="M360" s="2">
        <v>0</v>
      </c>
      <c r="N360" s="2">
        <v>10429.25</v>
      </c>
      <c r="O360" s="2">
        <v>26072.03</v>
      </c>
      <c r="P360" s="2">
        <v>9036</v>
      </c>
    </row>
    <row r="361" spans="1:16">
      <c r="A361" s="2" t="str">
        <f t="shared" si="146"/>
        <v>20150710</v>
      </c>
      <c r="B361" s="2" t="str">
        <f>"150181"</f>
        <v>150181</v>
      </c>
      <c r="C361" s="2" t="str">
        <f>"军工A"</f>
        <v>军工A</v>
      </c>
      <c r="D361" s="2" t="str">
        <f t="shared" si="144"/>
        <v>担保品卖出</v>
      </c>
      <c r="E361" s="2">
        <v>0.803</v>
      </c>
      <c r="F361" s="2">
        <v>30000</v>
      </c>
      <c r="G361" s="2">
        <v>24090</v>
      </c>
      <c r="H361" s="2">
        <v>7.47</v>
      </c>
      <c r="I361" s="2">
        <v>5.12</v>
      </c>
      <c r="J361" s="2">
        <v>0</v>
      </c>
      <c r="K361" s="2">
        <v>0</v>
      </c>
      <c r="L361" s="2">
        <v>0</v>
      </c>
      <c r="M361" s="2">
        <v>0</v>
      </c>
      <c r="N361" s="2">
        <v>24082.53</v>
      </c>
      <c r="O361" s="2">
        <v>50154.56</v>
      </c>
      <c r="P361" s="2">
        <v>71634</v>
      </c>
    </row>
    <row r="362" spans="1:16">
      <c r="A362" s="2" t="str">
        <f t="shared" si="146"/>
        <v>20150710</v>
      </c>
      <c r="B362" s="2"/>
      <c r="C362" s="2"/>
      <c r="D362" s="2" t="str">
        <f t="shared" si="145"/>
        <v>偿还融资负债本金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-9935.13</v>
      </c>
      <c r="O362" s="2">
        <v>40154.56</v>
      </c>
      <c r="P362" s="2">
        <v>0</v>
      </c>
    </row>
    <row r="363" spans="1:16">
      <c r="A363" s="2" t="str">
        <f t="shared" si="146"/>
        <v>20150710</v>
      </c>
      <c r="B363" s="2"/>
      <c r="C363" s="2"/>
      <c r="D363" s="2" t="str">
        <f>"偿还融资利息"</f>
        <v>偿还融资利息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-64.87</v>
      </c>
      <c r="O363" s="2">
        <v>50089.69</v>
      </c>
      <c r="P363" s="2">
        <v>0</v>
      </c>
    </row>
    <row r="364" spans="1:16">
      <c r="A364" s="2" t="str">
        <f t="shared" si="146"/>
        <v>20150710</v>
      </c>
      <c r="B364" s="2"/>
      <c r="C364" s="2"/>
      <c r="D364" s="2" t="str">
        <f>"偿还融资负债本金"</f>
        <v>偿还融资负债本金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-4431.64</v>
      </c>
      <c r="O364" s="2">
        <v>35722.92</v>
      </c>
      <c r="P364" s="2">
        <v>0</v>
      </c>
    </row>
    <row r="365" spans="1:16">
      <c r="A365" s="2" t="str">
        <f t="shared" si="146"/>
        <v>20150710</v>
      </c>
      <c r="B365" s="2"/>
      <c r="C365" s="2"/>
      <c r="D365" s="2" t="str">
        <f>"偿还融资负债本金"</f>
        <v>偿还融资负债本金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-5971.27</v>
      </c>
      <c r="O365" s="2">
        <v>29751.65</v>
      </c>
      <c r="P365" s="2">
        <v>0</v>
      </c>
    </row>
    <row r="366" spans="1:16">
      <c r="A366" s="2" t="str">
        <f t="shared" ref="A366:A378" si="147">"20150713"</f>
        <v>20150713</v>
      </c>
      <c r="B366" s="2" t="str">
        <f>"600219"</f>
        <v>600219</v>
      </c>
      <c r="C366" s="2" t="str">
        <f>"南山铝业"</f>
        <v>南山铝业</v>
      </c>
      <c r="D366" s="2" t="str">
        <f t="shared" ref="D366:D369" si="148">"担保品卖出"</f>
        <v>担保品卖出</v>
      </c>
      <c r="E366" s="2">
        <v>9.15</v>
      </c>
      <c r="F366" s="2">
        <v>2000</v>
      </c>
      <c r="G366" s="2">
        <v>18300</v>
      </c>
      <c r="H366" s="2">
        <v>5.67</v>
      </c>
      <c r="I366" s="2">
        <v>4.03</v>
      </c>
      <c r="J366" s="2">
        <v>18.3</v>
      </c>
      <c r="K366" s="2">
        <v>1.2</v>
      </c>
      <c r="L366" s="2">
        <v>0</v>
      </c>
      <c r="M366" s="2">
        <v>0</v>
      </c>
      <c r="N366" s="2">
        <v>18274.83</v>
      </c>
      <c r="O366" s="2">
        <v>48026.48</v>
      </c>
      <c r="P366" s="2">
        <v>2000</v>
      </c>
    </row>
    <row r="367" spans="1:16">
      <c r="A367" s="2" t="str">
        <f t="shared" si="147"/>
        <v>20150713</v>
      </c>
      <c r="B367" s="2" t="str">
        <f t="shared" ref="B367:B369" si="149">"600066"</f>
        <v>600066</v>
      </c>
      <c r="C367" s="2" t="str">
        <f t="shared" ref="C367:C369" si="150">"宇通客车"</f>
        <v>宇通客车</v>
      </c>
      <c r="D367" s="2" t="str">
        <f t="shared" si="148"/>
        <v>担保品卖出</v>
      </c>
      <c r="E367" s="2">
        <v>20.78</v>
      </c>
      <c r="F367" s="2">
        <v>2000</v>
      </c>
      <c r="G367" s="2">
        <v>41560</v>
      </c>
      <c r="H367" s="2">
        <v>12.88</v>
      </c>
      <c r="I367" s="2">
        <v>9.16</v>
      </c>
      <c r="J367" s="2">
        <v>41.56</v>
      </c>
      <c r="K367" s="2">
        <v>1.2</v>
      </c>
      <c r="L367" s="2">
        <v>0</v>
      </c>
      <c r="M367" s="2">
        <v>0</v>
      </c>
      <c r="N367" s="2">
        <v>41504.36</v>
      </c>
      <c r="O367" s="2">
        <v>89530.84</v>
      </c>
      <c r="P367" s="2">
        <v>7036</v>
      </c>
    </row>
    <row r="368" spans="1:16">
      <c r="A368" s="2" t="str">
        <f t="shared" si="147"/>
        <v>20150713</v>
      </c>
      <c r="B368" s="2" t="str">
        <f t="shared" si="149"/>
        <v>600066</v>
      </c>
      <c r="C368" s="2" t="str">
        <f t="shared" si="150"/>
        <v>宇通客车</v>
      </c>
      <c r="D368" s="2" t="str">
        <f t="shared" si="148"/>
        <v>担保品卖出</v>
      </c>
      <c r="E368" s="2">
        <v>21.15</v>
      </c>
      <c r="F368" s="2">
        <v>2036</v>
      </c>
      <c r="G368" s="2">
        <v>43061.4</v>
      </c>
      <c r="H368" s="2">
        <v>13.35</v>
      </c>
      <c r="I368" s="2">
        <v>9.49</v>
      </c>
      <c r="J368" s="2">
        <v>43.06</v>
      </c>
      <c r="K368" s="2">
        <v>1.22</v>
      </c>
      <c r="L368" s="2">
        <v>0</v>
      </c>
      <c r="M368" s="2">
        <v>0</v>
      </c>
      <c r="N368" s="2">
        <v>43003.77</v>
      </c>
      <c r="O368" s="2">
        <v>132534.61</v>
      </c>
      <c r="P368" s="2">
        <v>5000</v>
      </c>
    </row>
    <row r="369" spans="1:16">
      <c r="A369" s="2" t="str">
        <f t="shared" si="147"/>
        <v>20150713</v>
      </c>
      <c r="B369" s="2" t="str">
        <f t="shared" si="149"/>
        <v>600066</v>
      </c>
      <c r="C369" s="2" t="str">
        <f t="shared" si="150"/>
        <v>宇通客车</v>
      </c>
      <c r="D369" s="2" t="str">
        <f t="shared" si="148"/>
        <v>担保品卖出</v>
      </c>
      <c r="E369" s="2">
        <v>21.97</v>
      </c>
      <c r="F369" s="2">
        <v>500</v>
      </c>
      <c r="G369" s="2">
        <v>10985</v>
      </c>
      <c r="H369" s="2">
        <v>5</v>
      </c>
      <c r="I369" s="2">
        <v>4.02</v>
      </c>
      <c r="J369" s="2">
        <v>10.99</v>
      </c>
      <c r="K369" s="2">
        <v>0.3</v>
      </c>
      <c r="L369" s="2">
        <v>0</v>
      </c>
      <c r="M369" s="2">
        <v>0</v>
      </c>
      <c r="N369" s="2">
        <v>10968.71</v>
      </c>
      <c r="O369" s="2">
        <v>143503.32</v>
      </c>
      <c r="P369" s="2">
        <v>4500</v>
      </c>
    </row>
    <row r="370" spans="1:16">
      <c r="A370" s="2" t="str">
        <f t="shared" si="147"/>
        <v>20150713</v>
      </c>
      <c r="B370" s="2"/>
      <c r="C370" s="2"/>
      <c r="D370" s="2" t="str">
        <f t="shared" ref="D370:D373" si="151">"偿还融资利息"</f>
        <v>偿还融资利息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-41.87</v>
      </c>
      <c r="O370" s="2">
        <v>143461.45</v>
      </c>
      <c r="P370" s="2">
        <v>0</v>
      </c>
    </row>
    <row r="371" spans="1:16">
      <c r="A371" s="2" t="str">
        <f t="shared" si="147"/>
        <v>20150713</v>
      </c>
      <c r="B371" s="2"/>
      <c r="C371" s="2"/>
      <c r="D371" s="2" t="str">
        <f t="shared" si="151"/>
        <v>偿还融资利息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-20.76</v>
      </c>
      <c r="O371" s="2">
        <v>143440.69</v>
      </c>
      <c r="P371" s="2">
        <v>0</v>
      </c>
    </row>
    <row r="372" spans="1:16">
      <c r="A372" s="2" t="str">
        <f t="shared" si="147"/>
        <v>20150713</v>
      </c>
      <c r="B372" s="2"/>
      <c r="C372" s="2"/>
      <c r="D372" s="2" t="str">
        <f t="shared" si="151"/>
        <v>偿还融资利息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-10.4</v>
      </c>
      <c r="O372" s="2">
        <v>143430.29</v>
      </c>
      <c r="P372" s="2">
        <v>0</v>
      </c>
    </row>
    <row r="373" spans="1:16">
      <c r="A373" s="2" t="str">
        <f t="shared" si="147"/>
        <v>20150713</v>
      </c>
      <c r="B373" s="2"/>
      <c r="C373" s="2"/>
      <c r="D373" s="2" t="str">
        <f t="shared" si="151"/>
        <v>偿还融资利息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-7.48</v>
      </c>
      <c r="O373" s="2">
        <v>143422.81</v>
      </c>
      <c r="P373" s="2">
        <v>0</v>
      </c>
    </row>
    <row r="374" spans="1:16">
      <c r="A374" s="2" t="str">
        <f t="shared" si="147"/>
        <v>20150713</v>
      </c>
      <c r="B374" s="2"/>
      <c r="C374" s="2"/>
      <c r="D374" s="2" t="str">
        <f t="shared" ref="D374:D378" si="152">"偿还融资负债本金"</f>
        <v>偿还融资负债本金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-41392.56</v>
      </c>
      <c r="O374" s="2">
        <v>102030.25</v>
      </c>
      <c r="P374" s="2">
        <v>0</v>
      </c>
    </row>
    <row r="375" spans="1:16">
      <c r="A375" s="2" t="str">
        <f t="shared" si="147"/>
        <v>20150713</v>
      </c>
      <c r="B375" s="2"/>
      <c r="C375" s="2"/>
      <c r="D375" s="2" t="str">
        <f t="shared" si="152"/>
        <v>偿还融资负债本金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-18774.2</v>
      </c>
      <c r="O375" s="2">
        <v>83256.05</v>
      </c>
      <c r="P375" s="2">
        <v>0</v>
      </c>
    </row>
    <row r="376" spans="1:16">
      <c r="A376" s="2" t="str">
        <f t="shared" si="147"/>
        <v>20150713</v>
      </c>
      <c r="B376" s="2"/>
      <c r="C376" s="2"/>
      <c r="D376" s="2" t="str">
        <f t="shared" si="152"/>
        <v>偿还融资负债本金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-14917.59</v>
      </c>
      <c r="O376" s="2">
        <v>68338.46</v>
      </c>
      <c r="P376" s="2">
        <v>0</v>
      </c>
    </row>
    <row r="377" spans="1:16">
      <c r="A377" s="2" t="str">
        <f t="shared" si="147"/>
        <v>20150713</v>
      </c>
      <c r="B377" s="2"/>
      <c r="C377" s="2"/>
      <c r="D377" s="2" t="str">
        <f t="shared" si="152"/>
        <v>偿还融资负债本金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-8960.15</v>
      </c>
      <c r="O377" s="2">
        <v>59378.31</v>
      </c>
      <c r="P377" s="2">
        <v>0</v>
      </c>
    </row>
    <row r="378" spans="1:16">
      <c r="A378" s="2" t="str">
        <f t="shared" si="147"/>
        <v>20150713</v>
      </c>
      <c r="B378" s="2"/>
      <c r="C378" s="2"/>
      <c r="D378" s="2" t="str">
        <f t="shared" si="152"/>
        <v>偿还融资负债本金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-8064.16</v>
      </c>
      <c r="O378" s="2">
        <v>51314.15</v>
      </c>
      <c r="P378" s="2">
        <v>0</v>
      </c>
    </row>
    <row r="379" spans="1:16">
      <c r="A379" s="2" t="str">
        <f t="shared" ref="A379:A388" si="153">"20150714"</f>
        <v>20150714</v>
      </c>
      <c r="B379" s="2" t="str">
        <f t="shared" ref="B379:B381" si="154">"600066"</f>
        <v>600066</v>
      </c>
      <c r="C379" s="2" t="str">
        <f t="shared" ref="C379:C381" si="155">"宇通客车"</f>
        <v>宇通客车</v>
      </c>
      <c r="D379" s="2" t="str">
        <f>"融资买入"</f>
        <v>融资买入</v>
      </c>
      <c r="E379" s="2">
        <v>20.15</v>
      </c>
      <c r="F379" s="2">
        <v>500</v>
      </c>
      <c r="G379" s="2">
        <v>10075</v>
      </c>
      <c r="H379" s="2">
        <v>11.08</v>
      </c>
      <c r="I379" s="2">
        <v>10.17</v>
      </c>
      <c r="J379" s="2">
        <v>0</v>
      </c>
      <c r="K379" s="2">
        <v>0.3</v>
      </c>
      <c r="L379" s="2">
        <v>0</v>
      </c>
      <c r="M379" s="2">
        <v>0</v>
      </c>
      <c r="N379" s="2">
        <v>-10086.38</v>
      </c>
      <c r="O379" s="2">
        <v>41227.77</v>
      </c>
      <c r="P379" s="2">
        <v>5000</v>
      </c>
    </row>
    <row r="380" spans="1:16">
      <c r="A380" s="2" t="str">
        <f t="shared" si="153"/>
        <v>20150714</v>
      </c>
      <c r="B380" s="2" t="str">
        <f t="shared" si="154"/>
        <v>600066</v>
      </c>
      <c r="C380" s="2" t="str">
        <f t="shared" si="155"/>
        <v>宇通客车</v>
      </c>
      <c r="D380" s="2" t="str">
        <f>"融资买入"</f>
        <v>融资买入</v>
      </c>
      <c r="E380" s="2">
        <v>20.54</v>
      </c>
      <c r="F380" s="2">
        <v>2000</v>
      </c>
      <c r="G380" s="2">
        <v>41080</v>
      </c>
      <c r="H380" s="2">
        <v>45.19</v>
      </c>
      <c r="I380" s="2">
        <v>41.5</v>
      </c>
      <c r="J380" s="2">
        <v>0</v>
      </c>
      <c r="K380" s="2">
        <v>1.2</v>
      </c>
      <c r="L380" s="2">
        <v>0</v>
      </c>
      <c r="M380" s="2">
        <v>0</v>
      </c>
      <c r="N380" s="2">
        <v>-41126.39</v>
      </c>
      <c r="O380" s="2">
        <v>101.38</v>
      </c>
      <c r="P380" s="2">
        <v>7000</v>
      </c>
    </row>
    <row r="381" spans="1:16">
      <c r="A381" s="2" t="str">
        <f t="shared" si="153"/>
        <v>20150714</v>
      </c>
      <c r="B381" s="2" t="str">
        <f t="shared" si="154"/>
        <v>600066</v>
      </c>
      <c r="C381" s="2" t="str">
        <f t="shared" si="155"/>
        <v>宇通客车</v>
      </c>
      <c r="D381" s="2" t="str">
        <f>"担保品卖出"</f>
        <v>担保品卖出</v>
      </c>
      <c r="E381" s="2">
        <v>20.48</v>
      </c>
      <c r="F381" s="2">
        <v>2500</v>
      </c>
      <c r="G381" s="2">
        <v>51200</v>
      </c>
      <c r="H381" s="2">
        <v>15.87</v>
      </c>
      <c r="I381" s="2">
        <v>11.28</v>
      </c>
      <c r="J381" s="2">
        <v>51.2</v>
      </c>
      <c r="K381" s="2">
        <v>1.5</v>
      </c>
      <c r="L381" s="2">
        <v>0</v>
      </c>
      <c r="M381" s="2">
        <v>0</v>
      </c>
      <c r="N381" s="2">
        <v>51131.43</v>
      </c>
      <c r="O381" s="2">
        <v>51232.81</v>
      </c>
      <c r="P381" s="2">
        <v>4500</v>
      </c>
    </row>
    <row r="382" spans="1:16">
      <c r="A382" s="2" t="str">
        <f t="shared" si="153"/>
        <v>20150714</v>
      </c>
      <c r="B382" s="2" t="str">
        <f>"600219"</f>
        <v>600219</v>
      </c>
      <c r="C382" s="2" t="str">
        <f>"南山铝业"</f>
        <v>南山铝业</v>
      </c>
      <c r="D382" s="2" t="str">
        <f>"担保品卖出"</f>
        <v>担保品卖出</v>
      </c>
      <c r="E382" s="2">
        <v>9.36</v>
      </c>
      <c r="F382" s="2">
        <v>2000</v>
      </c>
      <c r="G382" s="2">
        <v>18720</v>
      </c>
      <c r="H382" s="2">
        <v>5.8</v>
      </c>
      <c r="I382" s="2">
        <v>4.13</v>
      </c>
      <c r="J382" s="2">
        <v>18.72</v>
      </c>
      <c r="K382" s="2">
        <v>1.2</v>
      </c>
      <c r="L382" s="2">
        <v>0</v>
      </c>
      <c r="M382" s="2">
        <v>0</v>
      </c>
      <c r="N382" s="2">
        <v>18694.28</v>
      </c>
      <c r="O382" s="2">
        <v>69927.09</v>
      </c>
      <c r="P382" s="2">
        <v>0</v>
      </c>
    </row>
    <row r="383" spans="1:16">
      <c r="A383" s="2" t="str">
        <f t="shared" si="153"/>
        <v>20150714</v>
      </c>
      <c r="B383" s="2"/>
      <c r="C383" s="2"/>
      <c r="D383" s="2" t="str">
        <f>"融资借入"</f>
        <v>融资借入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10086.38</v>
      </c>
      <c r="O383" s="2">
        <v>80013.47</v>
      </c>
      <c r="P383" s="2">
        <v>0</v>
      </c>
    </row>
    <row r="384" spans="1:16">
      <c r="A384" s="2" t="str">
        <f t="shared" si="153"/>
        <v>20150714</v>
      </c>
      <c r="B384" s="2"/>
      <c r="C384" s="2"/>
      <c r="D384" s="2" t="str">
        <f>"融资借入"</f>
        <v>融资借入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41126.39</v>
      </c>
      <c r="O384" s="2">
        <v>121139.86</v>
      </c>
      <c r="P384" s="2">
        <v>0</v>
      </c>
    </row>
    <row r="385" spans="1:16">
      <c r="A385" s="2" t="str">
        <f t="shared" si="153"/>
        <v>20150714</v>
      </c>
      <c r="B385" s="2"/>
      <c r="C385" s="2"/>
      <c r="D385" s="2" t="str">
        <f t="shared" ref="D385:D388" si="156">"偿还融资负债本金"</f>
        <v>偿还融资负债本金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-316.27</v>
      </c>
      <c r="O385" s="2">
        <v>120823.59</v>
      </c>
      <c r="P385" s="2">
        <v>0</v>
      </c>
    </row>
    <row r="386" spans="1:16">
      <c r="A386" s="2" t="str">
        <f t="shared" si="153"/>
        <v>20150714</v>
      </c>
      <c r="B386" s="2"/>
      <c r="C386" s="2"/>
      <c r="D386" s="2" t="str">
        <f t="shared" si="156"/>
        <v>偿还融资负债本金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-10086.38</v>
      </c>
      <c r="O386" s="2">
        <v>110737.21</v>
      </c>
      <c r="P386" s="2">
        <v>0</v>
      </c>
    </row>
    <row r="387" spans="1:16">
      <c r="A387" s="2" t="str">
        <f t="shared" si="153"/>
        <v>20150714</v>
      </c>
      <c r="B387" s="2"/>
      <c r="C387" s="2"/>
      <c r="D387" s="2" t="str">
        <f t="shared" si="156"/>
        <v>偿还融资负债本金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-1381.79</v>
      </c>
      <c r="O387" s="2">
        <v>109355.42</v>
      </c>
      <c r="P387" s="2">
        <v>0</v>
      </c>
    </row>
    <row r="388" spans="1:16">
      <c r="A388" s="2" t="str">
        <f t="shared" si="153"/>
        <v>20150714</v>
      </c>
      <c r="B388" s="2"/>
      <c r="C388" s="2"/>
      <c r="D388" s="2" t="str">
        <f t="shared" si="156"/>
        <v>偿还融资负债本金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-39428.33</v>
      </c>
      <c r="O388" s="2">
        <v>69927.09</v>
      </c>
      <c r="P388" s="2">
        <v>0</v>
      </c>
    </row>
    <row r="389" spans="1:16">
      <c r="A389" s="2" t="str">
        <f>"20150715"</f>
        <v>20150715</v>
      </c>
      <c r="B389" s="2" t="str">
        <f t="shared" ref="B389:B394" si="157">"600066"</f>
        <v>600066</v>
      </c>
      <c r="C389" s="2" t="str">
        <f t="shared" ref="C389:C394" si="158">"宇通客车"</f>
        <v>宇通客车</v>
      </c>
      <c r="D389" s="2" t="str">
        <f>"融资买入"</f>
        <v>融资买入</v>
      </c>
      <c r="E389" s="2">
        <v>19.12</v>
      </c>
      <c r="F389" s="2">
        <v>500</v>
      </c>
      <c r="G389" s="2">
        <v>9560</v>
      </c>
      <c r="H389" s="2">
        <v>10.52</v>
      </c>
      <c r="I389" s="2">
        <v>9.66</v>
      </c>
      <c r="J389" s="2">
        <v>0</v>
      </c>
      <c r="K389" s="2">
        <v>0.3</v>
      </c>
      <c r="L389" s="2">
        <v>0</v>
      </c>
      <c r="M389" s="2">
        <v>0</v>
      </c>
      <c r="N389" s="2">
        <v>-9570.82</v>
      </c>
      <c r="O389" s="2">
        <v>60356.27</v>
      </c>
      <c r="P389" s="2">
        <v>5000</v>
      </c>
    </row>
    <row r="390" spans="1:16">
      <c r="A390" s="2" t="str">
        <f>"20150715"</f>
        <v>20150715</v>
      </c>
      <c r="B390" s="2"/>
      <c r="C390" s="2"/>
      <c r="D390" s="2" t="str">
        <f>"融资借入"</f>
        <v>融资借入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9570.82</v>
      </c>
      <c r="O390" s="2">
        <v>69927.09</v>
      </c>
      <c r="P390" s="2">
        <v>0</v>
      </c>
    </row>
    <row r="391" spans="1:16">
      <c r="A391" s="2" t="str">
        <f t="shared" ref="A391:A393" si="159">"20150716"</f>
        <v>20150716</v>
      </c>
      <c r="B391" s="2" t="str">
        <f t="shared" si="157"/>
        <v>600066</v>
      </c>
      <c r="C391" s="2" t="str">
        <f t="shared" si="158"/>
        <v>宇通客车</v>
      </c>
      <c r="D391" s="2" t="str">
        <f>"担保品卖出"</f>
        <v>担保品卖出</v>
      </c>
      <c r="E391" s="2">
        <v>19.29</v>
      </c>
      <c r="F391" s="2">
        <v>500</v>
      </c>
      <c r="G391" s="2">
        <v>9645</v>
      </c>
      <c r="H391" s="2">
        <v>5</v>
      </c>
      <c r="I391" s="2">
        <v>4.14</v>
      </c>
      <c r="J391" s="2">
        <v>9.65</v>
      </c>
      <c r="K391" s="2">
        <v>0.3</v>
      </c>
      <c r="L391" s="2">
        <v>0</v>
      </c>
      <c r="M391" s="2">
        <v>0</v>
      </c>
      <c r="N391" s="2">
        <v>9630.05</v>
      </c>
      <c r="O391" s="2">
        <v>79557.14</v>
      </c>
      <c r="P391" s="2">
        <v>4500</v>
      </c>
    </row>
    <row r="392" spans="1:16">
      <c r="A392" s="2" t="str">
        <f t="shared" si="159"/>
        <v>20150716</v>
      </c>
      <c r="B392" s="2"/>
      <c r="C392" s="2"/>
      <c r="D392" s="2" t="str">
        <f>"偿还融资利息"</f>
        <v>偿还融资利息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-2.22</v>
      </c>
      <c r="O392" s="2">
        <v>79554.92</v>
      </c>
      <c r="P392" s="2">
        <v>0</v>
      </c>
    </row>
    <row r="393" spans="1:16">
      <c r="A393" s="2" t="str">
        <f t="shared" si="159"/>
        <v>20150716</v>
      </c>
      <c r="B393" s="2"/>
      <c r="C393" s="2"/>
      <c r="D393" s="2" t="str">
        <f>"偿还融资负债本金"</f>
        <v>偿还融资负债本金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-9570.82</v>
      </c>
      <c r="O393" s="2">
        <v>69984.1</v>
      </c>
      <c r="P393" s="2">
        <v>0</v>
      </c>
    </row>
    <row r="394" spans="1:16">
      <c r="A394" s="2" t="str">
        <f t="shared" ref="A394:A398" si="160">"20150717"</f>
        <v>20150717</v>
      </c>
      <c r="B394" s="2" t="str">
        <f t="shared" si="157"/>
        <v>600066</v>
      </c>
      <c r="C394" s="2" t="str">
        <f t="shared" si="158"/>
        <v>宇通客车</v>
      </c>
      <c r="D394" s="2" t="str">
        <f>"融资买入"</f>
        <v>融资买入</v>
      </c>
      <c r="E394" s="2">
        <v>19.6</v>
      </c>
      <c r="F394" s="2">
        <v>1000</v>
      </c>
      <c r="G394" s="2">
        <v>19600</v>
      </c>
      <c r="H394" s="2">
        <v>21.56</v>
      </c>
      <c r="I394" s="2">
        <v>19.81</v>
      </c>
      <c r="J394" s="2">
        <v>0</v>
      </c>
      <c r="K394" s="2">
        <v>0.6</v>
      </c>
      <c r="L394" s="2">
        <v>0</v>
      </c>
      <c r="M394" s="2">
        <v>0</v>
      </c>
      <c r="N394" s="2">
        <v>-19622.16</v>
      </c>
      <c r="O394" s="2">
        <v>50361.94</v>
      </c>
      <c r="P394" s="2">
        <v>5500</v>
      </c>
    </row>
    <row r="395" spans="1:16">
      <c r="A395" s="2" t="str">
        <f t="shared" si="160"/>
        <v>20150717</v>
      </c>
      <c r="B395" s="2" t="str">
        <f>"150181"</f>
        <v>150181</v>
      </c>
      <c r="C395" s="2" t="str">
        <f>"军工A"</f>
        <v>军工A</v>
      </c>
      <c r="D395" s="2" t="str">
        <f>"担保品卖出"</f>
        <v>担保品卖出</v>
      </c>
      <c r="E395" s="2">
        <v>0.876</v>
      </c>
      <c r="F395" s="2">
        <v>71634</v>
      </c>
      <c r="G395" s="2">
        <v>62751.38</v>
      </c>
      <c r="H395" s="2">
        <v>19.45</v>
      </c>
      <c r="I395" s="2">
        <v>13.33</v>
      </c>
      <c r="J395" s="2">
        <v>0</v>
      </c>
      <c r="K395" s="2">
        <v>0</v>
      </c>
      <c r="L395" s="2">
        <v>0</v>
      </c>
      <c r="M395" s="2">
        <v>0</v>
      </c>
      <c r="N395" s="2">
        <v>62731.93</v>
      </c>
      <c r="O395" s="2">
        <v>113093.87</v>
      </c>
      <c r="P395" s="2">
        <v>0</v>
      </c>
    </row>
    <row r="396" spans="1:16">
      <c r="A396" s="2" t="str">
        <f t="shared" si="160"/>
        <v>20150717</v>
      </c>
      <c r="B396" s="2" t="str">
        <f t="shared" ref="B396:B400" si="161">"600066"</f>
        <v>600066</v>
      </c>
      <c r="C396" s="2" t="str">
        <f t="shared" ref="C396:C400" si="162">"宇通客车"</f>
        <v>宇通客车</v>
      </c>
      <c r="D396" s="2" t="str">
        <f>"融资买入"</f>
        <v>融资买入</v>
      </c>
      <c r="E396" s="2">
        <v>19.82</v>
      </c>
      <c r="F396" s="2">
        <v>4500</v>
      </c>
      <c r="G396" s="2">
        <v>89190</v>
      </c>
      <c r="H396" s="2">
        <v>98.11</v>
      </c>
      <c r="I396" s="2">
        <v>90.12</v>
      </c>
      <c r="J396" s="2">
        <v>0</v>
      </c>
      <c r="K396" s="2">
        <v>2.7</v>
      </c>
      <c r="L396" s="2">
        <v>0</v>
      </c>
      <c r="M396" s="2">
        <v>0</v>
      </c>
      <c r="N396" s="2">
        <v>-89290.81</v>
      </c>
      <c r="O396" s="2">
        <v>23803.06</v>
      </c>
      <c r="P396" s="2">
        <v>10000</v>
      </c>
    </row>
    <row r="397" spans="1:16">
      <c r="A397" s="2" t="str">
        <f t="shared" si="160"/>
        <v>20150717</v>
      </c>
      <c r="B397" s="2"/>
      <c r="C397" s="2"/>
      <c r="D397" s="2" t="str">
        <f t="shared" ref="D397:D401" si="163">"融资借入"</f>
        <v>融资借入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19622.16</v>
      </c>
      <c r="O397" s="2">
        <v>43425.22</v>
      </c>
      <c r="P397" s="2">
        <v>0</v>
      </c>
    </row>
    <row r="398" spans="1:16">
      <c r="A398" s="2" t="str">
        <f t="shared" si="160"/>
        <v>20150717</v>
      </c>
      <c r="B398" s="2"/>
      <c r="C398" s="2"/>
      <c r="D398" s="2" t="str">
        <f t="shared" si="163"/>
        <v>融资借入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89290.81</v>
      </c>
      <c r="O398" s="2">
        <v>132716.03</v>
      </c>
      <c r="P398" s="2">
        <v>0</v>
      </c>
    </row>
    <row r="399" spans="1:16">
      <c r="A399" s="2" t="str">
        <f t="shared" ref="A399:A404" si="164">"20150720"</f>
        <v>20150720</v>
      </c>
      <c r="B399" s="2" t="str">
        <f t="shared" si="161"/>
        <v>600066</v>
      </c>
      <c r="C399" s="2" t="str">
        <f t="shared" si="162"/>
        <v>宇通客车</v>
      </c>
      <c r="D399" s="2" t="str">
        <f>"担保品卖出"</f>
        <v>担保品卖出</v>
      </c>
      <c r="E399" s="2">
        <v>20.08</v>
      </c>
      <c r="F399" s="2">
        <v>1000</v>
      </c>
      <c r="G399" s="2">
        <v>20080</v>
      </c>
      <c r="H399" s="2">
        <v>6.22</v>
      </c>
      <c r="I399" s="2">
        <v>4.42</v>
      </c>
      <c r="J399" s="2">
        <v>20.08</v>
      </c>
      <c r="K399" s="2">
        <v>0.6</v>
      </c>
      <c r="L399" s="2">
        <v>0</v>
      </c>
      <c r="M399" s="2">
        <v>0</v>
      </c>
      <c r="N399" s="2">
        <v>20053.1</v>
      </c>
      <c r="O399" s="2">
        <v>152769.13</v>
      </c>
      <c r="P399" s="2">
        <v>9000</v>
      </c>
    </row>
    <row r="400" spans="1:16">
      <c r="A400" s="2" t="str">
        <f t="shared" si="164"/>
        <v>20150720</v>
      </c>
      <c r="B400" s="2" t="str">
        <f t="shared" si="161"/>
        <v>600066</v>
      </c>
      <c r="C400" s="2" t="str">
        <f t="shared" si="162"/>
        <v>宇通客车</v>
      </c>
      <c r="D400" s="2" t="str">
        <f>"融资买入"</f>
        <v>融资买入</v>
      </c>
      <c r="E400" s="2">
        <v>19.91</v>
      </c>
      <c r="F400" s="2">
        <v>1000</v>
      </c>
      <c r="G400" s="2">
        <v>19910</v>
      </c>
      <c r="H400" s="2">
        <v>21.9</v>
      </c>
      <c r="I400" s="2">
        <v>20.11</v>
      </c>
      <c r="J400" s="2">
        <v>0</v>
      </c>
      <c r="K400" s="2">
        <v>0.6</v>
      </c>
      <c r="L400" s="2">
        <v>0</v>
      </c>
      <c r="M400" s="2">
        <v>0</v>
      </c>
      <c r="N400" s="2">
        <v>-19932.5</v>
      </c>
      <c r="O400" s="2">
        <v>132836.63</v>
      </c>
      <c r="P400" s="2">
        <v>10000</v>
      </c>
    </row>
    <row r="401" spans="1:16">
      <c r="A401" s="2" t="str">
        <f t="shared" si="164"/>
        <v>20150720</v>
      </c>
      <c r="B401" s="2"/>
      <c r="C401" s="2"/>
      <c r="D401" s="2" t="str">
        <f t="shared" si="163"/>
        <v>融资借入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19932.5</v>
      </c>
      <c r="O401" s="2">
        <v>152769.13</v>
      </c>
      <c r="P401" s="2">
        <v>0</v>
      </c>
    </row>
    <row r="402" spans="1:16">
      <c r="A402" s="2" t="str">
        <f t="shared" si="164"/>
        <v>20150720</v>
      </c>
      <c r="B402" s="2"/>
      <c r="C402" s="2"/>
      <c r="D402" s="2" t="str">
        <f t="shared" ref="D402:D408" si="165">"偿还融资负债本金"</f>
        <v>偿还融资负债本金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-19622.16</v>
      </c>
      <c r="O402" s="2">
        <v>133146.97</v>
      </c>
      <c r="P402" s="2">
        <v>0</v>
      </c>
    </row>
    <row r="403" spans="1:16">
      <c r="A403" s="2" t="str">
        <f t="shared" si="164"/>
        <v>20150720</v>
      </c>
      <c r="B403" s="2"/>
      <c r="C403" s="2"/>
      <c r="D403" s="2" t="str">
        <f t="shared" si="165"/>
        <v>偿还融资负债本金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-376.92</v>
      </c>
      <c r="O403" s="2">
        <v>132770.05</v>
      </c>
      <c r="P403" s="2">
        <v>0</v>
      </c>
    </row>
    <row r="404" spans="1:16">
      <c r="A404" s="2" t="str">
        <f t="shared" si="164"/>
        <v>20150720</v>
      </c>
      <c r="B404" s="2"/>
      <c r="C404" s="2"/>
      <c r="D404" s="2" t="str">
        <f>"偿还融资利息"</f>
        <v>偿还融资利息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-13.65</v>
      </c>
      <c r="O404" s="2">
        <v>132756.4</v>
      </c>
      <c r="P404" s="2">
        <v>0</v>
      </c>
    </row>
    <row r="405" spans="1:16">
      <c r="A405" s="2" t="str">
        <f t="shared" ref="A405:A408" si="166">"20150721"</f>
        <v>20150721</v>
      </c>
      <c r="B405" s="2" t="str">
        <f t="shared" ref="B405:B411" si="167">"600066"</f>
        <v>600066</v>
      </c>
      <c r="C405" s="2" t="str">
        <f t="shared" ref="C405:C411" si="168">"宇通客车"</f>
        <v>宇通客车</v>
      </c>
      <c r="D405" s="2" t="str">
        <f t="shared" ref="D405:D410" si="169">"担保品卖出"</f>
        <v>担保品卖出</v>
      </c>
      <c r="E405" s="2">
        <v>20.11</v>
      </c>
      <c r="F405" s="2">
        <v>2000</v>
      </c>
      <c r="G405" s="2">
        <v>40220</v>
      </c>
      <c r="H405" s="2">
        <v>12.47</v>
      </c>
      <c r="I405" s="2">
        <v>8.87</v>
      </c>
      <c r="J405" s="2">
        <v>40.22</v>
      </c>
      <c r="K405" s="2">
        <v>1.2</v>
      </c>
      <c r="L405" s="2">
        <v>0</v>
      </c>
      <c r="M405" s="2">
        <v>0</v>
      </c>
      <c r="N405" s="2">
        <v>40166.11</v>
      </c>
      <c r="O405" s="2">
        <v>172922.51</v>
      </c>
      <c r="P405" s="2">
        <v>8000</v>
      </c>
    </row>
    <row r="406" spans="1:16">
      <c r="A406" s="2" t="str">
        <f t="shared" si="166"/>
        <v>20150721</v>
      </c>
      <c r="B406" s="2" t="str">
        <f t="shared" si="167"/>
        <v>600066</v>
      </c>
      <c r="C406" s="2" t="str">
        <f t="shared" si="168"/>
        <v>宇通客车</v>
      </c>
      <c r="D406" s="2" t="str">
        <f t="shared" si="169"/>
        <v>担保品卖出</v>
      </c>
      <c r="E406" s="2">
        <v>20.28</v>
      </c>
      <c r="F406" s="2">
        <v>1000</v>
      </c>
      <c r="G406" s="2">
        <v>20280</v>
      </c>
      <c r="H406" s="2">
        <v>6.29</v>
      </c>
      <c r="I406" s="2">
        <v>4.47</v>
      </c>
      <c r="J406" s="2">
        <v>20.28</v>
      </c>
      <c r="K406" s="2">
        <v>0.6</v>
      </c>
      <c r="L406" s="2">
        <v>0</v>
      </c>
      <c r="M406" s="2">
        <v>0</v>
      </c>
      <c r="N406" s="2">
        <v>20252.83</v>
      </c>
      <c r="O406" s="2">
        <v>193175.34</v>
      </c>
      <c r="P406" s="2">
        <v>7000</v>
      </c>
    </row>
    <row r="407" spans="1:16">
      <c r="A407" s="2" t="str">
        <f t="shared" si="166"/>
        <v>20150721</v>
      </c>
      <c r="B407" s="2"/>
      <c r="C407" s="2"/>
      <c r="D407" s="2" t="str">
        <f t="shared" si="165"/>
        <v>偿还融资负债本金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-40057.92</v>
      </c>
      <c r="O407" s="2">
        <v>153117.42</v>
      </c>
      <c r="P407" s="2">
        <v>0</v>
      </c>
    </row>
    <row r="408" spans="1:16">
      <c r="A408" s="2" t="str">
        <f t="shared" si="166"/>
        <v>20150721</v>
      </c>
      <c r="B408" s="2"/>
      <c r="C408" s="2"/>
      <c r="D408" s="2" t="str">
        <f t="shared" si="165"/>
        <v>偿还融资负债本金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-20198.28</v>
      </c>
      <c r="O408" s="2">
        <v>132919.14</v>
      </c>
      <c r="P408" s="2">
        <v>0</v>
      </c>
    </row>
    <row r="409" spans="1:16">
      <c r="A409" s="2" t="str">
        <f t="shared" ref="A409:A418" si="170">"20150722"</f>
        <v>20150722</v>
      </c>
      <c r="B409" s="2" t="str">
        <f t="shared" si="167"/>
        <v>600066</v>
      </c>
      <c r="C409" s="2" t="str">
        <f t="shared" si="168"/>
        <v>宇通客车</v>
      </c>
      <c r="D409" s="2" t="str">
        <f>"融资买入"</f>
        <v>融资买入</v>
      </c>
      <c r="E409" s="2">
        <v>20.02</v>
      </c>
      <c r="F409" s="2">
        <v>1000</v>
      </c>
      <c r="G409" s="2">
        <v>20020</v>
      </c>
      <c r="H409" s="2">
        <v>22.02</v>
      </c>
      <c r="I409" s="2">
        <v>20.23</v>
      </c>
      <c r="J409" s="2">
        <v>0</v>
      </c>
      <c r="K409" s="2">
        <v>0.6</v>
      </c>
      <c r="L409" s="2">
        <v>0</v>
      </c>
      <c r="M409" s="2">
        <v>0</v>
      </c>
      <c r="N409" s="2">
        <v>-20042.62</v>
      </c>
      <c r="O409" s="2">
        <v>112876.52</v>
      </c>
      <c r="P409" s="2">
        <v>8000</v>
      </c>
    </row>
    <row r="410" spans="1:16">
      <c r="A410" s="2" t="str">
        <f t="shared" si="170"/>
        <v>20150722</v>
      </c>
      <c r="B410" s="2" t="str">
        <f t="shared" si="167"/>
        <v>600066</v>
      </c>
      <c r="C410" s="2" t="str">
        <f t="shared" si="168"/>
        <v>宇通客车</v>
      </c>
      <c r="D410" s="2" t="str">
        <f t="shared" si="169"/>
        <v>担保品卖出</v>
      </c>
      <c r="E410" s="2">
        <v>19.91</v>
      </c>
      <c r="F410" s="2">
        <v>7000</v>
      </c>
      <c r="G410" s="2">
        <v>139370</v>
      </c>
      <c r="H410" s="2">
        <v>43.2</v>
      </c>
      <c r="I410" s="2">
        <v>30.71</v>
      </c>
      <c r="J410" s="2">
        <v>139.38</v>
      </c>
      <c r="K410" s="2">
        <v>4.2</v>
      </c>
      <c r="L410" s="2">
        <v>0</v>
      </c>
      <c r="M410" s="2">
        <v>0</v>
      </c>
      <c r="N410" s="2">
        <v>139183.22</v>
      </c>
      <c r="O410" s="2">
        <v>252059.74</v>
      </c>
      <c r="P410" s="2">
        <v>1000</v>
      </c>
    </row>
    <row r="411" spans="1:16">
      <c r="A411" s="2" t="str">
        <f t="shared" si="170"/>
        <v>20150722</v>
      </c>
      <c r="B411" s="2" t="str">
        <f t="shared" si="167"/>
        <v>600066</v>
      </c>
      <c r="C411" s="2" t="str">
        <f t="shared" si="168"/>
        <v>宇通客车</v>
      </c>
      <c r="D411" s="2" t="str">
        <f>"融资买入"</f>
        <v>融资买入</v>
      </c>
      <c r="E411" s="2">
        <v>19.58</v>
      </c>
      <c r="F411" s="2">
        <v>2000</v>
      </c>
      <c r="G411" s="2">
        <v>39160</v>
      </c>
      <c r="H411" s="2">
        <v>43.08</v>
      </c>
      <c r="I411" s="2">
        <v>39.57</v>
      </c>
      <c r="J411" s="2">
        <v>0</v>
      </c>
      <c r="K411" s="2">
        <v>1.2</v>
      </c>
      <c r="L411" s="2">
        <v>0</v>
      </c>
      <c r="M411" s="2">
        <v>0</v>
      </c>
      <c r="N411" s="2">
        <v>-39204.28</v>
      </c>
      <c r="O411" s="2">
        <v>212855.46</v>
      </c>
      <c r="P411" s="2">
        <v>3000</v>
      </c>
    </row>
    <row r="412" spans="1:16">
      <c r="A412" s="2" t="str">
        <f t="shared" si="170"/>
        <v>20150722</v>
      </c>
      <c r="B412" s="2"/>
      <c r="C412" s="2"/>
      <c r="D412" s="2" t="str">
        <f>"融资借入"</f>
        <v>融资借入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20042.62</v>
      </c>
      <c r="O412" s="2">
        <v>232898.08</v>
      </c>
      <c r="P412" s="2">
        <v>0</v>
      </c>
    </row>
    <row r="413" spans="1:16">
      <c r="A413" s="2" t="str">
        <f t="shared" si="170"/>
        <v>20150722</v>
      </c>
      <c r="B413" s="2"/>
      <c r="C413" s="2"/>
      <c r="D413" s="2" t="str">
        <f>"融资借入"</f>
        <v>融资借入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39204.28</v>
      </c>
      <c r="O413" s="2">
        <v>272102.36</v>
      </c>
      <c r="P413" s="2">
        <v>0</v>
      </c>
    </row>
    <row r="414" spans="1:16">
      <c r="A414" s="2" t="str">
        <f t="shared" si="170"/>
        <v>20150722</v>
      </c>
      <c r="B414" s="2"/>
      <c r="C414" s="2"/>
      <c r="D414" s="2" t="str">
        <f>"偿还融资利息"</f>
        <v>偿还融资利息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-89.4</v>
      </c>
      <c r="O414" s="2">
        <v>272012.96</v>
      </c>
      <c r="P414" s="2">
        <v>0</v>
      </c>
    </row>
    <row r="415" spans="1:16">
      <c r="A415" s="2" t="str">
        <f t="shared" si="170"/>
        <v>20150722</v>
      </c>
      <c r="B415" s="2"/>
      <c r="C415" s="2"/>
      <c r="D415" s="2" t="str">
        <f>"偿还融资利息"</f>
        <v>偿还融资利息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-9.24</v>
      </c>
      <c r="O415" s="2">
        <v>272003.72</v>
      </c>
      <c r="P415" s="2">
        <v>0</v>
      </c>
    </row>
    <row r="416" spans="1:16">
      <c r="A416" s="2" t="str">
        <f t="shared" si="170"/>
        <v>20150722</v>
      </c>
      <c r="B416" s="2"/>
      <c r="C416" s="2"/>
      <c r="D416" s="2" t="str">
        <f t="shared" ref="D416:D418" si="171">"偿还融资负债本金"</f>
        <v>偿还融资负债本金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-28657.69</v>
      </c>
      <c r="O416" s="2">
        <v>243346.03</v>
      </c>
      <c r="P416" s="2">
        <v>0</v>
      </c>
    </row>
    <row r="417" spans="1:16">
      <c r="A417" s="2" t="str">
        <f t="shared" si="170"/>
        <v>20150722</v>
      </c>
      <c r="B417" s="2"/>
      <c r="C417" s="2"/>
      <c r="D417" s="2" t="str">
        <f t="shared" si="171"/>
        <v>偿还融资负债本金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-19932.5</v>
      </c>
      <c r="O417" s="2">
        <v>223413.53</v>
      </c>
      <c r="P417" s="2">
        <v>0</v>
      </c>
    </row>
    <row r="418" spans="1:16">
      <c r="A418" s="2" t="str">
        <f t="shared" si="170"/>
        <v>20150722</v>
      </c>
      <c r="B418" s="2"/>
      <c r="C418" s="2"/>
      <c r="D418" s="2" t="str">
        <f t="shared" si="171"/>
        <v>偿还融资负债本金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-20042.62</v>
      </c>
      <c r="O418" s="2">
        <v>203370.91</v>
      </c>
      <c r="P418" s="2">
        <v>0</v>
      </c>
    </row>
    <row r="419" spans="1:16">
      <c r="A419" s="2" t="str">
        <f>"20150723"</f>
        <v>20150723</v>
      </c>
      <c r="B419" s="2" t="str">
        <f>"600066"</f>
        <v>600066</v>
      </c>
      <c r="C419" s="2" t="str">
        <f>"宇通客车"</f>
        <v>宇通客车</v>
      </c>
      <c r="D419" s="2" t="str">
        <f>"融资买入"</f>
        <v>融资买入</v>
      </c>
      <c r="E419" s="2">
        <v>20</v>
      </c>
      <c r="F419" s="2">
        <v>2000</v>
      </c>
      <c r="G419" s="2">
        <v>40000</v>
      </c>
      <c r="H419" s="2">
        <v>44</v>
      </c>
      <c r="I419" s="2">
        <v>40.42</v>
      </c>
      <c r="J419" s="2">
        <v>0</v>
      </c>
      <c r="K419" s="2">
        <v>1.2</v>
      </c>
      <c r="L419" s="2">
        <v>0</v>
      </c>
      <c r="M419" s="2">
        <v>0</v>
      </c>
      <c r="N419" s="2">
        <v>-40045.2</v>
      </c>
      <c r="O419" s="2">
        <v>163325.71</v>
      </c>
      <c r="P419" s="2">
        <v>5000</v>
      </c>
    </row>
    <row r="420" spans="1:16">
      <c r="A420" s="2" t="str">
        <f>"20150723"</f>
        <v>20150723</v>
      </c>
      <c r="B420" s="2"/>
      <c r="C420" s="2"/>
      <c r="D420" s="2" t="str">
        <f>"融资借入"</f>
        <v>融资借入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40045.2</v>
      </c>
      <c r="O420" s="2">
        <v>203370.91</v>
      </c>
      <c r="P420" s="2">
        <v>0</v>
      </c>
    </row>
    <row r="421" spans="1:16">
      <c r="A421" s="2" t="str">
        <f t="shared" ref="A421:A426" si="172">"20150724"</f>
        <v>20150724</v>
      </c>
      <c r="B421" s="2" t="str">
        <f>"600066"</f>
        <v>600066</v>
      </c>
      <c r="C421" s="2" t="str">
        <f>"宇通客车"</f>
        <v>宇通客车</v>
      </c>
      <c r="D421" s="2" t="str">
        <f>"担保品卖出"</f>
        <v>担保品卖出</v>
      </c>
      <c r="E421" s="2">
        <v>20.14</v>
      </c>
      <c r="F421" s="2">
        <v>2000</v>
      </c>
      <c r="G421" s="2">
        <v>40280</v>
      </c>
      <c r="H421" s="2">
        <v>12.49</v>
      </c>
      <c r="I421" s="2">
        <v>8.89</v>
      </c>
      <c r="J421" s="2">
        <v>40.27</v>
      </c>
      <c r="K421" s="2">
        <v>1.2</v>
      </c>
      <c r="L421" s="2">
        <v>0</v>
      </c>
      <c r="M421" s="2">
        <v>0</v>
      </c>
      <c r="N421" s="2">
        <v>40226.04</v>
      </c>
      <c r="O421" s="2">
        <v>243596.95</v>
      </c>
      <c r="P421" s="2">
        <v>3000</v>
      </c>
    </row>
    <row r="422" spans="1:16">
      <c r="A422" s="2" t="str">
        <f t="shared" si="172"/>
        <v>20150724</v>
      </c>
      <c r="B422" s="2"/>
      <c r="C422" s="2"/>
      <c r="D422" s="2" t="str">
        <f t="shared" ref="D422:D425" si="173">"偿还融资负债本金"</f>
        <v>偿还融资负债本金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-6017.65</v>
      </c>
      <c r="O422" s="2">
        <v>237579.3</v>
      </c>
      <c r="P422" s="2">
        <v>0</v>
      </c>
    </row>
    <row r="423" spans="1:16">
      <c r="A423" s="2" t="str">
        <f t="shared" si="172"/>
        <v>20150724</v>
      </c>
      <c r="B423" s="2"/>
      <c r="C423" s="2"/>
      <c r="D423" s="2" t="str">
        <f t="shared" si="173"/>
        <v>偿还融资负债本金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-32094.14</v>
      </c>
      <c r="O423" s="2">
        <v>205485.16</v>
      </c>
      <c r="P423" s="2">
        <v>0</v>
      </c>
    </row>
    <row r="424" spans="1:16">
      <c r="A424" s="2" t="str">
        <f t="shared" si="172"/>
        <v>20150724</v>
      </c>
      <c r="B424" s="2"/>
      <c r="C424" s="2"/>
      <c r="D424" s="2" t="str">
        <f t="shared" si="173"/>
        <v>偿还融资负债本金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-1092.49</v>
      </c>
      <c r="O424" s="2">
        <v>204392.67</v>
      </c>
      <c r="P424" s="2">
        <v>0</v>
      </c>
    </row>
    <row r="425" spans="1:16">
      <c r="A425" s="2" t="str">
        <f t="shared" si="172"/>
        <v>20150724</v>
      </c>
      <c r="B425" s="2"/>
      <c r="C425" s="2"/>
      <c r="D425" s="2" t="str">
        <f t="shared" si="173"/>
        <v>偿还融资负债本金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-913.4</v>
      </c>
      <c r="O425" s="2">
        <v>203479.27</v>
      </c>
      <c r="P425" s="2">
        <v>0</v>
      </c>
    </row>
    <row r="426" spans="1:16">
      <c r="A426" s="2" t="str">
        <f t="shared" si="172"/>
        <v>20150724</v>
      </c>
      <c r="B426" s="2"/>
      <c r="C426" s="2"/>
      <c r="D426" s="2" t="str">
        <f>"偿还融资利息"</f>
        <v>偿还融资利息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-18.18</v>
      </c>
      <c r="O426" s="2">
        <v>203461.09</v>
      </c>
      <c r="P426" s="2">
        <v>0</v>
      </c>
    </row>
    <row r="427" spans="1:16">
      <c r="A427" s="2" t="str">
        <f>"20150727"</f>
        <v>20150727</v>
      </c>
      <c r="B427" s="2" t="str">
        <f>"600066"</f>
        <v>600066</v>
      </c>
      <c r="C427" s="2" t="str">
        <f>"宇通客车"</f>
        <v>宇通客车</v>
      </c>
      <c r="D427" s="2" t="str">
        <f>"融资买入"</f>
        <v>融资买入</v>
      </c>
      <c r="E427" s="2">
        <v>19.42</v>
      </c>
      <c r="F427" s="2">
        <v>1000</v>
      </c>
      <c r="G427" s="2">
        <v>19420</v>
      </c>
      <c r="H427" s="2">
        <v>21.36</v>
      </c>
      <c r="I427" s="2">
        <v>19.62</v>
      </c>
      <c r="J427" s="2">
        <v>0</v>
      </c>
      <c r="K427" s="2">
        <v>0.6</v>
      </c>
      <c r="L427" s="2">
        <v>0</v>
      </c>
      <c r="M427" s="2">
        <v>0</v>
      </c>
      <c r="N427" s="2">
        <v>-19441.96</v>
      </c>
      <c r="O427" s="2">
        <v>184019.13</v>
      </c>
      <c r="P427" s="2">
        <v>4000</v>
      </c>
    </row>
    <row r="428" spans="1:16">
      <c r="A428" s="2" t="str">
        <f>"20150727"</f>
        <v>20150727</v>
      </c>
      <c r="B428" s="2"/>
      <c r="C428" s="2"/>
      <c r="D428" s="2" t="str">
        <f>"融资借入"</f>
        <v>融资借入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19441.96</v>
      </c>
      <c r="O428" s="2">
        <v>203461.09</v>
      </c>
      <c r="P428" s="2">
        <v>0</v>
      </c>
    </row>
    <row r="429" spans="1:16">
      <c r="A429" s="2" t="str">
        <f>"20150728"</f>
        <v>20150728</v>
      </c>
      <c r="B429" s="2" t="str">
        <f t="shared" ref="B429:B431" si="174">"150181"</f>
        <v>150181</v>
      </c>
      <c r="C429" s="2" t="str">
        <f t="shared" ref="C429:C431" si="175">"军工A"</f>
        <v>军工A</v>
      </c>
      <c r="D429" s="2" t="str">
        <f t="shared" ref="D429:D434" si="176">"担保品买入"</f>
        <v>担保品买入</v>
      </c>
      <c r="E429" s="2">
        <v>0.837</v>
      </c>
      <c r="F429" s="2">
        <v>100000</v>
      </c>
      <c r="G429" s="2">
        <v>83700</v>
      </c>
      <c r="H429" s="2">
        <v>25.95</v>
      </c>
      <c r="I429" s="2">
        <v>17.79</v>
      </c>
      <c r="J429" s="2">
        <v>0</v>
      </c>
      <c r="K429" s="2">
        <v>0</v>
      </c>
      <c r="L429" s="2">
        <v>0</v>
      </c>
      <c r="M429" s="2">
        <v>0</v>
      </c>
      <c r="N429" s="2">
        <v>-83725.95</v>
      </c>
      <c r="O429" s="2">
        <v>119735.14</v>
      </c>
      <c r="P429" s="2">
        <v>100000</v>
      </c>
    </row>
    <row r="430" spans="1:16">
      <c r="A430" s="2" t="str">
        <f>"20150729"</f>
        <v>20150729</v>
      </c>
      <c r="B430" s="2" t="str">
        <f t="shared" si="174"/>
        <v>150181</v>
      </c>
      <c r="C430" s="2" t="str">
        <f t="shared" si="175"/>
        <v>军工A</v>
      </c>
      <c r="D430" s="2" t="str">
        <f>"担保品卖出"</f>
        <v>担保品卖出</v>
      </c>
      <c r="E430" s="2">
        <v>0.845</v>
      </c>
      <c r="F430" s="2">
        <v>50000</v>
      </c>
      <c r="G430" s="2">
        <v>42250.01</v>
      </c>
      <c r="H430" s="2">
        <v>13.1</v>
      </c>
      <c r="I430" s="2">
        <v>8.98</v>
      </c>
      <c r="J430" s="2">
        <v>0</v>
      </c>
      <c r="K430" s="2">
        <v>0</v>
      </c>
      <c r="L430" s="2">
        <v>0</v>
      </c>
      <c r="M430" s="2">
        <v>0</v>
      </c>
      <c r="N430" s="2">
        <v>42236.91</v>
      </c>
      <c r="O430" s="2">
        <v>161972.05</v>
      </c>
      <c r="P430" s="2">
        <v>50000</v>
      </c>
    </row>
    <row r="431" spans="1:16">
      <c r="A431" s="2" t="str">
        <f>"20150729"</f>
        <v>20150729</v>
      </c>
      <c r="B431" s="2" t="str">
        <f t="shared" si="174"/>
        <v>150181</v>
      </c>
      <c r="C431" s="2" t="str">
        <f t="shared" si="175"/>
        <v>军工A</v>
      </c>
      <c r="D431" s="2" t="str">
        <f>"担保品卖出"</f>
        <v>担保品卖出</v>
      </c>
      <c r="E431" s="2">
        <v>0.843</v>
      </c>
      <c r="F431" s="2">
        <v>50000</v>
      </c>
      <c r="G431" s="2">
        <v>42150</v>
      </c>
      <c r="H431" s="2">
        <v>13.07</v>
      </c>
      <c r="I431" s="2">
        <v>8.96</v>
      </c>
      <c r="J431" s="2">
        <v>0</v>
      </c>
      <c r="K431" s="2">
        <v>0</v>
      </c>
      <c r="L431" s="2">
        <v>0</v>
      </c>
      <c r="M431" s="2">
        <v>0</v>
      </c>
      <c r="N431" s="2">
        <v>42136.93</v>
      </c>
      <c r="O431" s="2">
        <v>204108.98</v>
      </c>
      <c r="P431" s="2">
        <v>0</v>
      </c>
    </row>
    <row r="432" spans="1:16">
      <c r="A432" s="2" t="str">
        <f>"20150730"</f>
        <v>20150730</v>
      </c>
      <c r="B432" s="2" t="str">
        <f t="shared" ref="B432:B435" si="177">"600066"</f>
        <v>600066</v>
      </c>
      <c r="C432" s="2" t="str">
        <f t="shared" ref="C432:C435" si="178">"宇通客车"</f>
        <v>宇通客车</v>
      </c>
      <c r="D432" s="2" t="str">
        <f t="shared" si="176"/>
        <v>担保品买入</v>
      </c>
      <c r="E432" s="2">
        <v>19.27</v>
      </c>
      <c r="F432" s="2">
        <v>500</v>
      </c>
      <c r="G432" s="2">
        <v>9635</v>
      </c>
      <c r="H432" s="2">
        <v>5</v>
      </c>
      <c r="I432" s="2">
        <v>4.14</v>
      </c>
      <c r="J432" s="2">
        <v>0</v>
      </c>
      <c r="K432" s="2">
        <v>0.3</v>
      </c>
      <c r="L432" s="2">
        <v>0</v>
      </c>
      <c r="M432" s="2">
        <v>0</v>
      </c>
      <c r="N432" s="2">
        <v>-9640.3</v>
      </c>
      <c r="O432" s="2">
        <v>194468.68</v>
      </c>
      <c r="P432" s="2">
        <v>4500</v>
      </c>
    </row>
    <row r="433" spans="1:16">
      <c r="A433" s="2" t="str">
        <f>"20150731"</f>
        <v>20150731</v>
      </c>
      <c r="B433" s="2" t="str">
        <f t="shared" si="177"/>
        <v>600066</v>
      </c>
      <c r="C433" s="2" t="str">
        <f t="shared" si="178"/>
        <v>宇通客车</v>
      </c>
      <c r="D433" s="2" t="str">
        <f t="shared" si="176"/>
        <v>担保品买入</v>
      </c>
      <c r="E433" s="2">
        <v>18.66</v>
      </c>
      <c r="F433" s="2">
        <v>500</v>
      </c>
      <c r="G433" s="2">
        <v>9330</v>
      </c>
      <c r="H433" s="2">
        <v>5</v>
      </c>
      <c r="I433" s="2">
        <v>4.16</v>
      </c>
      <c r="J433" s="2">
        <v>0</v>
      </c>
      <c r="K433" s="2">
        <v>0.3</v>
      </c>
      <c r="L433" s="2">
        <v>0</v>
      </c>
      <c r="M433" s="2">
        <v>0</v>
      </c>
      <c r="N433" s="2">
        <v>-9335.3</v>
      </c>
      <c r="O433" s="2">
        <v>185133.38</v>
      </c>
      <c r="P433" s="2">
        <v>5000</v>
      </c>
    </row>
    <row r="434" spans="1:16">
      <c r="A434" s="2" t="str">
        <f t="shared" ref="A434:A436" si="179">"20150803"</f>
        <v>20150803</v>
      </c>
      <c r="B434" s="2" t="str">
        <f t="shared" si="177"/>
        <v>600066</v>
      </c>
      <c r="C434" s="2" t="str">
        <f t="shared" si="178"/>
        <v>宇通客车</v>
      </c>
      <c r="D434" s="2" t="str">
        <f t="shared" si="176"/>
        <v>担保品买入</v>
      </c>
      <c r="E434" s="2">
        <v>19.38</v>
      </c>
      <c r="F434" s="2">
        <v>2000</v>
      </c>
      <c r="G434" s="2">
        <v>38760</v>
      </c>
      <c r="H434" s="2">
        <v>12.02</v>
      </c>
      <c r="I434" s="2">
        <v>9.36</v>
      </c>
      <c r="J434" s="2">
        <v>0</v>
      </c>
      <c r="K434" s="2">
        <v>0.78</v>
      </c>
      <c r="L434" s="2">
        <v>0</v>
      </c>
      <c r="M434" s="2">
        <v>0</v>
      </c>
      <c r="N434" s="2">
        <v>-38772.8</v>
      </c>
      <c r="O434" s="2">
        <v>146360.58</v>
      </c>
      <c r="P434" s="2">
        <v>7000</v>
      </c>
    </row>
    <row r="435" spans="1:16">
      <c r="A435" s="2" t="str">
        <f t="shared" si="179"/>
        <v>20150803</v>
      </c>
      <c r="B435" s="2" t="str">
        <f t="shared" si="177"/>
        <v>600066</v>
      </c>
      <c r="C435" s="2" t="str">
        <f t="shared" si="178"/>
        <v>宇通客车</v>
      </c>
      <c r="D435" s="2" t="str">
        <f>"融资买入"</f>
        <v>融资买入</v>
      </c>
      <c r="E435" s="2">
        <v>19.65</v>
      </c>
      <c r="F435" s="2">
        <v>3000</v>
      </c>
      <c r="G435" s="2">
        <v>58950</v>
      </c>
      <c r="H435" s="2">
        <v>64.85</v>
      </c>
      <c r="I435" s="2">
        <v>60.8</v>
      </c>
      <c r="J435" s="2">
        <v>0</v>
      </c>
      <c r="K435" s="2">
        <v>1.18</v>
      </c>
      <c r="L435" s="2">
        <v>0</v>
      </c>
      <c r="M435" s="2">
        <v>0</v>
      </c>
      <c r="N435" s="2">
        <v>-59016.03</v>
      </c>
      <c r="O435" s="2">
        <v>87344.55</v>
      </c>
      <c r="P435" s="2">
        <v>10000</v>
      </c>
    </row>
    <row r="436" spans="1:16">
      <c r="A436" s="2" t="str">
        <f t="shared" si="179"/>
        <v>20150803</v>
      </c>
      <c r="B436" s="2"/>
      <c r="C436" s="2"/>
      <c r="D436" s="2" t="str">
        <f>"融资借入"</f>
        <v>融资借入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59016.03</v>
      </c>
      <c r="O436" s="2">
        <v>146360.58</v>
      </c>
      <c r="P436" s="2">
        <v>0</v>
      </c>
    </row>
    <row r="437" spans="1:16">
      <c r="A437" s="2" t="str">
        <f t="shared" ref="A437:A446" si="180">"20150804"</f>
        <v>20150804</v>
      </c>
      <c r="B437" s="2" t="str">
        <f t="shared" ref="B437:B440" si="181">"600066"</f>
        <v>600066</v>
      </c>
      <c r="C437" s="2" t="str">
        <f t="shared" ref="C437:C440" si="182">"宇通客车"</f>
        <v>宇通客车</v>
      </c>
      <c r="D437" s="2" t="str">
        <f t="shared" ref="D437:D440" si="183">"担保品卖出"</f>
        <v>担保品卖出</v>
      </c>
      <c r="E437" s="2">
        <v>20.82</v>
      </c>
      <c r="F437" s="2">
        <v>500</v>
      </c>
      <c r="G437" s="2">
        <v>10410</v>
      </c>
      <c r="H437" s="2">
        <v>5</v>
      </c>
      <c r="I437" s="2">
        <v>4.28</v>
      </c>
      <c r="J437" s="2">
        <v>10.41</v>
      </c>
      <c r="K437" s="2">
        <v>0.21</v>
      </c>
      <c r="L437" s="2">
        <v>0</v>
      </c>
      <c r="M437" s="2">
        <v>0</v>
      </c>
      <c r="N437" s="2">
        <v>10394.38</v>
      </c>
      <c r="O437" s="2">
        <v>156754.96</v>
      </c>
      <c r="P437" s="2">
        <v>9500</v>
      </c>
    </row>
    <row r="438" spans="1:16">
      <c r="A438" s="2" t="str">
        <f t="shared" si="180"/>
        <v>20150804</v>
      </c>
      <c r="B438" s="2" t="str">
        <f t="shared" si="181"/>
        <v>600066</v>
      </c>
      <c r="C438" s="2" t="str">
        <f t="shared" si="182"/>
        <v>宇通客车</v>
      </c>
      <c r="D438" s="2" t="str">
        <f t="shared" si="183"/>
        <v>担保品卖出</v>
      </c>
      <c r="E438" s="2">
        <v>20.99</v>
      </c>
      <c r="F438" s="2">
        <v>500</v>
      </c>
      <c r="G438" s="2">
        <v>10495</v>
      </c>
      <c r="H438" s="2">
        <v>5</v>
      </c>
      <c r="I438" s="2">
        <v>4.28</v>
      </c>
      <c r="J438" s="2">
        <v>10.5</v>
      </c>
      <c r="K438" s="2">
        <v>0.21</v>
      </c>
      <c r="L438" s="2">
        <v>0</v>
      </c>
      <c r="M438" s="2">
        <v>0</v>
      </c>
      <c r="N438" s="2">
        <v>10479.29</v>
      </c>
      <c r="O438" s="2">
        <v>167234.25</v>
      </c>
      <c r="P438" s="2">
        <v>9000</v>
      </c>
    </row>
    <row r="439" spans="1:16">
      <c r="A439" s="2" t="str">
        <f t="shared" si="180"/>
        <v>20150804</v>
      </c>
      <c r="B439" s="2" t="str">
        <f t="shared" si="181"/>
        <v>600066</v>
      </c>
      <c r="C439" s="2" t="str">
        <f t="shared" si="182"/>
        <v>宇通客车</v>
      </c>
      <c r="D439" s="2" t="str">
        <f t="shared" si="183"/>
        <v>担保品卖出</v>
      </c>
      <c r="E439" s="2">
        <v>21.05</v>
      </c>
      <c r="F439" s="2">
        <v>500</v>
      </c>
      <c r="G439" s="2">
        <v>10525</v>
      </c>
      <c r="H439" s="2">
        <v>5</v>
      </c>
      <c r="I439" s="2">
        <v>4.28</v>
      </c>
      <c r="J439" s="2">
        <v>10.53</v>
      </c>
      <c r="K439" s="2">
        <v>0.21</v>
      </c>
      <c r="L439" s="2">
        <v>0</v>
      </c>
      <c r="M439" s="2">
        <v>0</v>
      </c>
      <c r="N439" s="2">
        <v>10509.26</v>
      </c>
      <c r="O439" s="2">
        <v>177743.51</v>
      </c>
      <c r="P439" s="2">
        <v>8500</v>
      </c>
    </row>
    <row r="440" spans="1:16">
      <c r="A440" s="2" t="str">
        <f t="shared" si="180"/>
        <v>20150804</v>
      </c>
      <c r="B440" s="2" t="str">
        <f t="shared" si="181"/>
        <v>600066</v>
      </c>
      <c r="C440" s="2" t="str">
        <f t="shared" si="182"/>
        <v>宇通客车</v>
      </c>
      <c r="D440" s="2" t="str">
        <f t="shared" si="183"/>
        <v>担保品卖出</v>
      </c>
      <c r="E440" s="2">
        <v>21.45</v>
      </c>
      <c r="F440" s="2">
        <v>500</v>
      </c>
      <c r="G440" s="2">
        <v>10725</v>
      </c>
      <c r="H440" s="2">
        <v>5</v>
      </c>
      <c r="I440" s="2">
        <v>4.27</v>
      </c>
      <c r="J440" s="2">
        <v>10.73</v>
      </c>
      <c r="K440" s="2">
        <v>0.21</v>
      </c>
      <c r="L440" s="2">
        <v>0</v>
      </c>
      <c r="M440" s="2">
        <v>0</v>
      </c>
      <c r="N440" s="2">
        <v>10709.06</v>
      </c>
      <c r="O440" s="2">
        <v>188452.57</v>
      </c>
      <c r="P440" s="2">
        <v>8000</v>
      </c>
    </row>
    <row r="441" spans="1:16">
      <c r="A441" s="2" t="str">
        <f t="shared" si="180"/>
        <v>20150804</v>
      </c>
      <c r="B441" s="2"/>
      <c r="C441" s="2"/>
      <c r="D441" s="2" t="str">
        <f t="shared" ref="D441:D445" si="184">"偿还融资负债本金"</f>
        <v>偿还融资负债本金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-10368.15</v>
      </c>
      <c r="O441" s="2">
        <v>178084.42</v>
      </c>
      <c r="P441" s="2">
        <v>0</v>
      </c>
    </row>
    <row r="442" spans="1:16">
      <c r="A442" s="2" t="str">
        <f t="shared" si="180"/>
        <v>20150804</v>
      </c>
      <c r="B442" s="2"/>
      <c r="C442" s="2"/>
      <c r="D442" s="2" t="str">
        <f t="shared" si="184"/>
        <v>偿还融资负债本金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-10452.8</v>
      </c>
      <c r="O442" s="2">
        <v>167631.62</v>
      </c>
      <c r="P442" s="2">
        <v>0</v>
      </c>
    </row>
    <row r="443" spans="1:16">
      <c r="A443" s="2" t="str">
        <f t="shared" si="180"/>
        <v>20150804</v>
      </c>
      <c r="B443" s="2"/>
      <c r="C443" s="2"/>
      <c r="D443" s="2" t="str">
        <f t="shared" si="184"/>
        <v>偿还融资负债本金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-10482.68</v>
      </c>
      <c r="O443" s="2">
        <v>157148.94</v>
      </c>
      <c r="P443" s="2">
        <v>0</v>
      </c>
    </row>
    <row r="444" spans="1:16">
      <c r="A444" s="2" t="str">
        <f t="shared" si="180"/>
        <v>20150804</v>
      </c>
      <c r="B444" s="2"/>
      <c r="C444" s="2"/>
      <c r="D444" s="2" t="str">
        <f t="shared" si="184"/>
        <v>偿还融资负债本金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-7828.17</v>
      </c>
      <c r="O444" s="2">
        <v>149320.77</v>
      </c>
      <c r="P444" s="2">
        <v>0</v>
      </c>
    </row>
    <row r="445" spans="1:16">
      <c r="A445" s="2" t="str">
        <f t="shared" si="180"/>
        <v>20150804</v>
      </c>
      <c r="B445" s="2"/>
      <c r="C445" s="2"/>
      <c r="D445" s="2" t="str">
        <f t="shared" si="184"/>
        <v>偿还融资负债本金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-2853.71</v>
      </c>
      <c r="O445" s="2">
        <v>146467.06</v>
      </c>
      <c r="P445" s="2">
        <v>0</v>
      </c>
    </row>
    <row r="446" spans="1:16">
      <c r="A446" s="2" t="str">
        <f t="shared" si="180"/>
        <v>20150804</v>
      </c>
      <c r="B446" s="2"/>
      <c r="C446" s="2"/>
      <c r="D446" s="2" t="str">
        <f>"偿还融资利息"</f>
        <v>偿还融资利息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-109.15</v>
      </c>
      <c r="O446" s="2">
        <v>146357.91</v>
      </c>
      <c r="P446" s="2">
        <v>0</v>
      </c>
    </row>
    <row r="447" spans="1:16">
      <c r="A447" s="2" t="str">
        <f t="shared" ref="A447:A461" si="185">"20150805"</f>
        <v>20150805</v>
      </c>
      <c r="B447" s="2"/>
      <c r="C447" s="2"/>
      <c r="D447" s="2" t="str">
        <f>"证券转银行"</f>
        <v>证券转银行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-5000</v>
      </c>
      <c r="O447" s="2">
        <v>141357.91</v>
      </c>
      <c r="P447" s="2">
        <v>0</v>
      </c>
    </row>
    <row r="448" spans="1:16">
      <c r="A448" s="2" t="str">
        <f t="shared" si="185"/>
        <v>20150805</v>
      </c>
      <c r="B448" s="2" t="str">
        <f t="shared" ref="B448:B452" si="186">"600066"</f>
        <v>600066</v>
      </c>
      <c r="C448" s="2" t="str">
        <f t="shared" ref="C448:C452" si="187">"宇通客车"</f>
        <v>宇通客车</v>
      </c>
      <c r="D448" s="2" t="str">
        <f t="shared" ref="D448:D450" si="188">"担保品卖出"</f>
        <v>担保品卖出</v>
      </c>
      <c r="E448" s="2">
        <v>21.14</v>
      </c>
      <c r="F448" s="2">
        <v>3000</v>
      </c>
      <c r="G448" s="2">
        <v>63420</v>
      </c>
      <c r="H448" s="2">
        <v>19.66</v>
      </c>
      <c r="I448" s="2">
        <v>15.31</v>
      </c>
      <c r="J448" s="2">
        <v>63.42</v>
      </c>
      <c r="K448" s="2">
        <v>1.27</v>
      </c>
      <c r="L448" s="2">
        <v>0</v>
      </c>
      <c r="M448" s="2">
        <v>0</v>
      </c>
      <c r="N448" s="2">
        <v>63335.65</v>
      </c>
      <c r="O448" s="2">
        <v>204693.56</v>
      </c>
      <c r="P448" s="2">
        <v>5000</v>
      </c>
    </row>
    <row r="449" spans="1:16">
      <c r="A449" s="2" t="str">
        <f t="shared" si="185"/>
        <v>20150805</v>
      </c>
      <c r="B449" s="2" t="str">
        <f t="shared" si="186"/>
        <v>600066</v>
      </c>
      <c r="C449" s="2" t="str">
        <f t="shared" si="187"/>
        <v>宇通客车</v>
      </c>
      <c r="D449" s="2" t="str">
        <f t="shared" si="188"/>
        <v>担保品卖出</v>
      </c>
      <c r="E449" s="2">
        <v>21.55</v>
      </c>
      <c r="F449" s="2">
        <v>500</v>
      </c>
      <c r="G449" s="2">
        <v>10775</v>
      </c>
      <c r="H449" s="2">
        <v>5</v>
      </c>
      <c r="I449" s="2">
        <v>4.26</v>
      </c>
      <c r="J449" s="2">
        <v>10.78</v>
      </c>
      <c r="K449" s="2">
        <v>0.22</v>
      </c>
      <c r="L449" s="2">
        <v>0</v>
      </c>
      <c r="M449" s="2">
        <v>0</v>
      </c>
      <c r="N449" s="2">
        <v>10759</v>
      </c>
      <c r="O449" s="2">
        <v>215452.56</v>
      </c>
      <c r="P449" s="2">
        <v>4500</v>
      </c>
    </row>
    <row r="450" spans="1:16">
      <c r="A450" s="2" t="str">
        <f t="shared" si="185"/>
        <v>20150805</v>
      </c>
      <c r="B450" s="2" t="str">
        <f t="shared" si="186"/>
        <v>600066</v>
      </c>
      <c r="C450" s="2" t="str">
        <f t="shared" si="187"/>
        <v>宇通客车</v>
      </c>
      <c r="D450" s="2" t="str">
        <f t="shared" si="188"/>
        <v>担保品卖出</v>
      </c>
      <c r="E450" s="2">
        <v>21.72</v>
      </c>
      <c r="F450" s="2">
        <v>500</v>
      </c>
      <c r="G450" s="2">
        <v>10860</v>
      </c>
      <c r="H450" s="2">
        <v>5</v>
      </c>
      <c r="I450" s="2">
        <v>4.25</v>
      </c>
      <c r="J450" s="2">
        <v>10.86</v>
      </c>
      <c r="K450" s="2">
        <v>0.22</v>
      </c>
      <c r="L450" s="2">
        <v>0</v>
      </c>
      <c r="M450" s="2">
        <v>0</v>
      </c>
      <c r="N450" s="2">
        <v>10843.92</v>
      </c>
      <c r="O450" s="2">
        <v>226296.48</v>
      </c>
      <c r="P450" s="2">
        <v>4000</v>
      </c>
    </row>
    <row r="451" spans="1:16">
      <c r="A451" s="2" t="str">
        <f t="shared" si="185"/>
        <v>20150805</v>
      </c>
      <c r="B451" s="2" t="str">
        <f t="shared" si="186"/>
        <v>600066</v>
      </c>
      <c r="C451" s="2" t="str">
        <f t="shared" si="187"/>
        <v>宇通客车</v>
      </c>
      <c r="D451" s="2" t="str">
        <f>"担保品买入"</f>
        <v>担保品买入</v>
      </c>
      <c r="E451" s="2">
        <v>21.36</v>
      </c>
      <c r="F451" s="2">
        <v>500</v>
      </c>
      <c r="G451" s="2">
        <v>10680</v>
      </c>
      <c r="H451" s="2">
        <v>5</v>
      </c>
      <c r="I451" s="2">
        <v>4.27</v>
      </c>
      <c r="J451" s="2">
        <v>0</v>
      </c>
      <c r="K451" s="2">
        <v>0.21</v>
      </c>
      <c r="L451" s="2">
        <v>0</v>
      </c>
      <c r="M451" s="2">
        <v>0</v>
      </c>
      <c r="N451" s="2">
        <v>-10685.21</v>
      </c>
      <c r="O451" s="2">
        <v>215611.27</v>
      </c>
      <c r="P451" s="2">
        <v>4500</v>
      </c>
    </row>
    <row r="452" spans="1:16">
      <c r="A452" s="2" t="str">
        <f t="shared" si="185"/>
        <v>20150805</v>
      </c>
      <c r="B452" s="2" t="str">
        <f t="shared" si="186"/>
        <v>600066</v>
      </c>
      <c r="C452" s="2" t="str">
        <f t="shared" si="187"/>
        <v>宇通客车</v>
      </c>
      <c r="D452" s="2" t="str">
        <f>"担保品买入"</f>
        <v>担保品买入</v>
      </c>
      <c r="E452" s="2">
        <v>20.98</v>
      </c>
      <c r="F452" s="2">
        <v>500</v>
      </c>
      <c r="G452" s="2">
        <v>10490</v>
      </c>
      <c r="H452" s="2">
        <v>5</v>
      </c>
      <c r="I452" s="2">
        <v>4.28</v>
      </c>
      <c r="J452" s="2">
        <v>0</v>
      </c>
      <c r="K452" s="2">
        <v>0.21</v>
      </c>
      <c r="L452" s="2">
        <v>0</v>
      </c>
      <c r="M452" s="2">
        <v>0</v>
      </c>
      <c r="N452" s="2">
        <v>-10495.21</v>
      </c>
      <c r="O452" s="2">
        <v>205116.06</v>
      </c>
      <c r="P452" s="2">
        <v>5000</v>
      </c>
    </row>
    <row r="453" spans="1:16">
      <c r="A453" s="2" t="str">
        <f t="shared" si="185"/>
        <v>20150805</v>
      </c>
      <c r="B453" s="2"/>
      <c r="C453" s="2"/>
      <c r="D453" s="2" t="str">
        <f>"偿还融资利息"</f>
        <v>偿还融资利息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-39.93</v>
      </c>
      <c r="O453" s="2">
        <v>205076.13</v>
      </c>
      <c r="P453" s="2">
        <v>0</v>
      </c>
    </row>
    <row r="454" spans="1:16">
      <c r="A454" s="2" t="str">
        <f t="shared" si="185"/>
        <v>20150805</v>
      </c>
      <c r="B454" s="2"/>
      <c r="C454" s="2"/>
      <c r="D454" s="2" t="str">
        <f>"偿还融资利息"</f>
        <v>偿还融资利息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-27.38</v>
      </c>
      <c r="O454" s="2">
        <v>205048.75</v>
      </c>
      <c r="P454" s="2">
        <v>0</v>
      </c>
    </row>
    <row r="455" spans="1:16">
      <c r="A455" s="2" t="str">
        <f t="shared" si="185"/>
        <v>20150805</v>
      </c>
      <c r="B455" s="2"/>
      <c r="C455" s="2"/>
      <c r="D455" s="2" t="str">
        <f t="shared" ref="D455:D461" si="189">"偿还融资负债本金"</f>
        <v>偿还融资负债本金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-16588.25</v>
      </c>
      <c r="O455" s="2">
        <v>188460.5</v>
      </c>
      <c r="P455" s="2">
        <v>0</v>
      </c>
    </row>
    <row r="456" spans="1:16">
      <c r="A456" s="2" t="str">
        <f t="shared" si="185"/>
        <v>20150805</v>
      </c>
      <c r="B456" s="2"/>
      <c r="C456" s="2"/>
      <c r="D456" s="2" t="str">
        <f t="shared" si="189"/>
        <v>偿还融资负债本金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-21310.78</v>
      </c>
      <c r="O456" s="2">
        <v>167149.72</v>
      </c>
      <c r="P456" s="2">
        <v>0</v>
      </c>
    </row>
    <row r="457" spans="1:16">
      <c r="A457" s="2" t="str">
        <f t="shared" si="185"/>
        <v>20150805</v>
      </c>
      <c r="B457" s="2"/>
      <c r="C457" s="2"/>
      <c r="D457" s="2" t="str">
        <f t="shared" si="189"/>
        <v>偿还融资负债本金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-4210.99</v>
      </c>
      <c r="O457" s="2">
        <v>162938.73</v>
      </c>
      <c r="P457" s="2">
        <v>0</v>
      </c>
    </row>
    <row r="458" spans="1:16">
      <c r="A458" s="2" t="str">
        <f t="shared" si="185"/>
        <v>20150805</v>
      </c>
      <c r="B458" s="2"/>
      <c r="C458" s="2"/>
      <c r="D458" s="2" t="str">
        <f t="shared" si="189"/>
        <v>偿还融资负债本金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-18949.52</v>
      </c>
      <c r="O458" s="2">
        <v>143989.21</v>
      </c>
      <c r="P458" s="2">
        <v>0</v>
      </c>
    </row>
    <row r="459" spans="1:16">
      <c r="A459" s="2" t="str">
        <f t="shared" si="185"/>
        <v>20150805</v>
      </c>
      <c r="B459" s="2"/>
      <c r="C459" s="2"/>
      <c r="D459" s="2" t="str">
        <f t="shared" si="189"/>
        <v>偿还融资负债本金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-10731.67</v>
      </c>
      <c r="O459" s="2">
        <v>133257.54</v>
      </c>
      <c r="P459" s="2">
        <v>0</v>
      </c>
    </row>
    <row r="460" spans="1:16">
      <c r="A460" s="2" t="str">
        <f t="shared" si="185"/>
        <v>20150805</v>
      </c>
      <c r="B460" s="2"/>
      <c r="C460" s="2"/>
      <c r="D460" s="2" t="str">
        <f t="shared" si="189"/>
        <v>偿还融资负债本金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-1707.56</v>
      </c>
      <c r="O460" s="2">
        <v>131549.98</v>
      </c>
      <c r="P460" s="2">
        <v>0</v>
      </c>
    </row>
    <row r="461" spans="1:16">
      <c r="A461" s="2" t="str">
        <f t="shared" si="185"/>
        <v>20150805</v>
      </c>
      <c r="B461" s="2"/>
      <c r="C461" s="2"/>
      <c r="D461" s="2" t="str">
        <f t="shared" si="189"/>
        <v>偿还融资负债本金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-2105.51</v>
      </c>
      <c r="O461" s="2">
        <v>129444.47</v>
      </c>
      <c r="P461" s="2">
        <v>0</v>
      </c>
    </row>
    <row r="462" spans="1:16">
      <c r="A462" s="2" t="str">
        <f t="shared" ref="A462:A468" si="190">"20150806"</f>
        <v>20150806</v>
      </c>
      <c r="B462" s="2" t="str">
        <f t="shared" ref="B462:B464" si="191">"600066"</f>
        <v>600066</v>
      </c>
      <c r="C462" s="2" t="str">
        <f t="shared" ref="C462:C464" si="192">"宇通客车"</f>
        <v>宇通客车</v>
      </c>
      <c r="D462" s="2" t="str">
        <f>"融资买入"</f>
        <v>融资买入</v>
      </c>
      <c r="E462" s="2">
        <v>21.64</v>
      </c>
      <c r="F462" s="2">
        <v>1000</v>
      </c>
      <c r="G462" s="2">
        <v>21640</v>
      </c>
      <c r="H462" s="2">
        <v>23.8</v>
      </c>
      <c r="I462" s="2">
        <v>22.3</v>
      </c>
      <c r="J462" s="2">
        <v>0</v>
      </c>
      <c r="K462" s="2">
        <v>0.43</v>
      </c>
      <c r="L462" s="2">
        <v>0</v>
      </c>
      <c r="M462" s="2">
        <v>0</v>
      </c>
      <c r="N462" s="2">
        <v>-21664.23</v>
      </c>
      <c r="O462" s="2">
        <v>107780.24</v>
      </c>
      <c r="P462" s="2">
        <v>6000</v>
      </c>
    </row>
    <row r="463" spans="1:16">
      <c r="A463" s="2" t="str">
        <f t="shared" si="190"/>
        <v>20150806</v>
      </c>
      <c r="B463" s="2" t="str">
        <f t="shared" si="191"/>
        <v>600066</v>
      </c>
      <c r="C463" s="2" t="str">
        <f t="shared" si="192"/>
        <v>宇通客车</v>
      </c>
      <c r="D463" s="2" t="str">
        <f>"担保品卖出"</f>
        <v>担保品卖出</v>
      </c>
      <c r="E463" s="2">
        <v>21.8</v>
      </c>
      <c r="F463" s="2">
        <v>1000</v>
      </c>
      <c r="G463" s="2">
        <v>21800</v>
      </c>
      <c r="H463" s="2">
        <v>6.76</v>
      </c>
      <c r="I463" s="2">
        <v>5.26</v>
      </c>
      <c r="J463" s="2">
        <v>21.8</v>
      </c>
      <c r="K463" s="2">
        <v>0.44</v>
      </c>
      <c r="L463" s="2">
        <v>0</v>
      </c>
      <c r="M463" s="2">
        <v>0</v>
      </c>
      <c r="N463" s="2">
        <v>21771</v>
      </c>
      <c r="O463" s="2">
        <v>129551.24</v>
      </c>
      <c r="P463" s="2">
        <v>5000</v>
      </c>
    </row>
    <row r="464" spans="1:16">
      <c r="A464" s="2" t="str">
        <f t="shared" si="190"/>
        <v>20150806</v>
      </c>
      <c r="B464" s="2" t="str">
        <f t="shared" si="191"/>
        <v>600066</v>
      </c>
      <c r="C464" s="2" t="str">
        <f t="shared" si="192"/>
        <v>宇通客车</v>
      </c>
      <c r="D464" s="2" t="str">
        <f>"担保品卖出"</f>
        <v>担保品卖出</v>
      </c>
      <c r="E464" s="2">
        <v>22.3</v>
      </c>
      <c r="F464" s="2">
        <v>500</v>
      </c>
      <c r="G464" s="2">
        <v>11150</v>
      </c>
      <c r="H464" s="2">
        <v>5</v>
      </c>
      <c r="I464" s="2">
        <v>4.23</v>
      </c>
      <c r="J464" s="2">
        <v>11.15</v>
      </c>
      <c r="K464" s="2">
        <v>0.22</v>
      </c>
      <c r="L464" s="2">
        <v>0</v>
      </c>
      <c r="M464" s="2">
        <v>0</v>
      </c>
      <c r="N464" s="2">
        <v>11133.63</v>
      </c>
      <c r="O464" s="2">
        <v>140684.87</v>
      </c>
      <c r="P464" s="2">
        <v>4500</v>
      </c>
    </row>
    <row r="465" spans="1:16">
      <c r="A465" s="2" t="str">
        <f t="shared" si="190"/>
        <v>20150806</v>
      </c>
      <c r="B465" s="2" t="str">
        <f>"600219"</f>
        <v>600219</v>
      </c>
      <c r="C465" s="2" t="str">
        <f>"南山铝业"</f>
        <v>南山铝业</v>
      </c>
      <c r="D465" s="2" t="str">
        <f>"融资买入"</f>
        <v>融资买入</v>
      </c>
      <c r="E465" s="2">
        <v>7.76</v>
      </c>
      <c r="F465" s="2">
        <v>1000</v>
      </c>
      <c r="G465" s="2">
        <v>7760</v>
      </c>
      <c r="H465" s="2">
        <v>8.54</v>
      </c>
      <c r="I465" s="2">
        <v>8</v>
      </c>
      <c r="J465" s="2">
        <v>0</v>
      </c>
      <c r="K465" s="2">
        <v>0.16</v>
      </c>
      <c r="L465" s="2">
        <v>0</v>
      </c>
      <c r="M465" s="2">
        <v>0</v>
      </c>
      <c r="N465" s="2">
        <v>-7768.7</v>
      </c>
      <c r="O465" s="2">
        <v>132916.17</v>
      </c>
      <c r="P465" s="2">
        <v>1000</v>
      </c>
    </row>
    <row r="466" spans="1:16">
      <c r="A466" s="2" t="str">
        <f t="shared" si="190"/>
        <v>20150806</v>
      </c>
      <c r="B466" s="2"/>
      <c r="C466" s="2"/>
      <c r="D466" s="2" t="str">
        <f>"融资借入"</f>
        <v>融资借入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21664.23</v>
      </c>
      <c r="O466" s="2">
        <v>154580.4</v>
      </c>
      <c r="P466" s="2">
        <v>0</v>
      </c>
    </row>
    <row r="467" spans="1:16">
      <c r="A467" s="2" t="str">
        <f t="shared" si="190"/>
        <v>20150806</v>
      </c>
      <c r="B467" s="2"/>
      <c r="C467" s="2"/>
      <c r="D467" s="2" t="str">
        <f>"融资借入"</f>
        <v>融资借入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7768.7</v>
      </c>
      <c r="O467" s="2">
        <v>162349.1</v>
      </c>
      <c r="P467" s="2">
        <v>0</v>
      </c>
    </row>
    <row r="468" spans="1:16">
      <c r="A468" s="2" t="str">
        <f t="shared" si="190"/>
        <v>20150806</v>
      </c>
      <c r="B468" s="2"/>
      <c r="C468" s="2"/>
      <c r="D468" s="2" t="str">
        <f>"偿还融资负债本金"</f>
        <v>偿还融资负债本金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-21664.23</v>
      </c>
      <c r="O468" s="2">
        <v>140684.87</v>
      </c>
      <c r="P468" s="2">
        <v>0</v>
      </c>
    </row>
    <row r="469" spans="1:16">
      <c r="A469" s="2" t="str">
        <f t="shared" ref="A469:A480" si="193">"20150807"</f>
        <v>20150807</v>
      </c>
      <c r="B469" s="2" t="str">
        <f t="shared" ref="B469:B472" si="194">"600066"</f>
        <v>600066</v>
      </c>
      <c r="C469" s="2" t="str">
        <f t="shared" ref="C469:C472" si="195">"宇通客车"</f>
        <v>宇通客车</v>
      </c>
      <c r="D469" s="2" t="str">
        <f>"融资买入"</f>
        <v>融资买入</v>
      </c>
      <c r="E469" s="2">
        <v>22.16</v>
      </c>
      <c r="F469" s="2">
        <v>1000</v>
      </c>
      <c r="G469" s="2">
        <v>22160</v>
      </c>
      <c r="H469" s="2">
        <v>24.38</v>
      </c>
      <c r="I469" s="2">
        <v>22.86</v>
      </c>
      <c r="J469" s="2">
        <v>0</v>
      </c>
      <c r="K469" s="2">
        <v>0.44</v>
      </c>
      <c r="L469" s="2">
        <v>0</v>
      </c>
      <c r="M469" s="2">
        <v>0</v>
      </c>
      <c r="N469" s="2">
        <v>-22184.82</v>
      </c>
      <c r="O469" s="2">
        <v>118500.05</v>
      </c>
      <c r="P469" s="2">
        <v>5500</v>
      </c>
    </row>
    <row r="470" spans="1:16">
      <c r="A470" s="2" t="str">
        <f t="shared" si="193"/>
        <v>20150807</v>
      </c>
      <c r="B470" s="2" t="str">
        <f>"600219"</f>
        <v>600219</v>
      </c>
      <c r="C470" s="2" t="str">
        <f>"南山铝业"</f>
        <v>南山铝业</v>
      </c>
      <c r="D470" s="2" t="str">
        <f>"担保品卖出"</f>
        <v>担保品卖出</v>
      </c>
      <c r="E470" s="2">
        <v>7.87</v>
      </c>
      <c r="F470" s="2">
        <v>1000</v>
      </c>
      <c r="G470" s="2">
        <v>7870</v>
      </c>
      <c r="H470" s="2">
        <v>5</v>
      </c>
      <c r="I470" s="2">
        <v>4.46</v>
      </c>
      <c r="J470" s="2">
        <v>7.87</v>
      </c>
      <c r="K470" s="2">
        <v>0.16</v>
      </c>
      <c r="L470" s="2">
        <v>0</v>
      </c>
      <c r="M470" s="2">
        <v>0</v>
      </c>
      <c r="N470" s="2">
        <v>7856.97</v>
      </c>
      <c r="O470" s="2">
        <v>126357.02</v>
      </c>
      <c r="P470" s="2">
        <v>0</v>
      </c>
    </row>
    <row r="471" spans="1:16">
      <c r="A471" s="2" t="str">
        <f t="shared" si="193"/>
        <v>20150807</v>
      </c>
      <c r="B471" s="2" t="str">
        <f t="shared" si="194"/>
        <v>600066</v>
      </c>
      <c r="C471" s="2" t="str">
        <f t="shared" si="195"/>
        <v>宇通客车</v>
      </c>
      <c r="D471" s="2" t="str">
        <f>"融资买入"</f>
        <v>融资买入</v>
      </c>
      <c r="E471" s="2">
        <v>21.79</v>
      </c>
      <c r="F471" s="2">
        <v>1000</v>
      </c>
      <c r="G471" s="2">
        <v>21790</v>
      </c>
      <c r="H471" s="2">
        <v>23.97</v>
      </c>
      <c r="I471" s="2">
        <v>22.47</v>
      </c>
      <c r="J471" s="2">
        <v>0</v>
      </c>
      <c r="K471" s="2">
        <v>0.44</v>
      </c>
      <c r="L471" s="2">
        <v>0</v>
      </c>
      <c r="M471" s="2">
        <v>0</v>
      </c>
      <c r="N471" s="2">
        <v>-21814.41</v>
      </c>
      <c r="O471" s="2">
        <v>104542.61</v>
      </c>
      <c r="P471" s="2">
        <v>6500</v>
      </c>
    </row>
    <row r="472" spans="1:16">
      <c r="A472" s="2" t="str">
        <f t="shared" si="193"/>
        <v>20150807</v>
      </c>
      <c r="B472" s="2" t="str">
        <f t="shared" si="194"/>
        <v>600066</v>
      </c>
      <c r="C472" s="2" t="str">
        <f t="shared" si="195"/>
        <v>宇通客车</v>
      </c>
      <c r="D472" s="2" t="str">
        <f>"担保品卖出"</f>
        <v>担保品卖出</v>
      </c>
      <c r="E472" s="2">
        <v>21.9</v>
      </c>
      <c r="F472" s="2">
        <v>4500</v>
      </c>
      <c r="G472" s="2">
        <v>98550</v>
      </c>
      <c r="H472" s="2">
        <v>30.55</v>
      </c>
      <c r="I472" s="2">
        <v>23.78</v>
      </c>
      <c r="J472" s="2">
        <v>98.55</v>
      </c>
      <c r="K472" s="2">
        <v>1.97</v>
      </c>
      <c r="L472" s="2">
        <v>0</v>
      </c>
      <c r="M472" s="2">
        <v>0</v>
      </c>
      <c r="N472" s="2">
        <v>98418.93</v>
      </c>
      <c r="O472" s="2">
        <v>202961.54</v>
      </c>
      <c r="P472" s="2">
        <v>2000</v>
      </c>
    </row>
    <row r="473" spans="1:16">
      <c r="A473" s="2" t="str">
        <f t="shared" si="193"/>
        <v>20150807</v>
      </c>
      <c r="B473" s="2"/>
      <c r="C473" s="2"/>
      <c r="D473" s="2" t="str">
        <f>"融资借入"</f>
        <v>融资借入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22184.82</v>
      </c>
      <c r="O473" s="2">
        <v>225146.36</v>
      </c>
      <c r="P473" s="2">
        <v>0</v>
      </c>
    </row>
    <row r="474" spans="1:16">
      <c r="A474" s="2" t="str">
        <f t="shared" si="193"/>
        <v>20150807</v>
      </c>
      <c r="B474" s="2"/>
      <c r="C474" s="2"/>
      <c r="D474" s="2" t="str">
        <f>"融资借入"</f>
        <v>融资借入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21814.41</v>
      </c>
      <c r="O474" s="2">
        <v>246960.77</v>
      </c>
      <c r="P474" s="2">
        <v>0</v>
      </c>
    </row>
    <row r="475" spans="1:16">
      <c r="A475" s="2" t="str">
        <f t="shared" si="193"/>
        <v>20150807</v>
      </c>
      <c r="B475" s="2"/>
      <c r="C475" s="2"/>
      <c r="D475" s="2" t="str">
        <f t="shared" ref="D475:D479" si="196">"偿还融资负债本金"</f>
        <v>偿还融资负债本金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-7768.7</v>
      </c>
      <c r="O475" s="2">
        <v>239192.07</v>
      </c>
      <c r="P475" s="2">
        <v>0</v>
      </c>
    </row>
    <row r="476" spans="1:16">
      <c r="A476" s="2" t="str">
        <f t="shared" si="193"/>
        <v>20150807</v>
      </c>
      <c r="B476" s="2"/>
      <c r="C476" s="2"/>
      <c r="D476" s="2" t="str">
        <f t="shared" si="196"/>
        <v>偿还融资负债本金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-372.86</v>
      </c>
      <c r="O476" s="2">
        <v>238819.21</v>
      </c>
      <c r="P476" s="2">
        <v>0</v>
      </c>
    </row>
    <row r="477" spans="1:16">
      <c r="A477" s="2" t="str">
        <f t="shared" si="193"/>
        <v>20150807</v>
      </c>
      <c r="B477" s="2"/>
      <c r="C477" s="2"/>
      <c r="D477" s="2" t="str">
        <f t="shared" si="196"/>
        <v>偿还融资负债本金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-21811.96</v>
      </c>
      <c r="O477" s="2">
        <v>217007.25</v>
      </c>
      <c r="P477" s="2">
        <v>0</v>
      </c>
    </row>
    <row r="478" spans="1:16">
      <c r="A478" s="2" t="str">
        <f t="shared" si="193"/>
        <v>20150807</v>
      </c>
      <c r="B478" s="2"/>
      <c r="C478" s="2"/>
      <c r="D478" s="2" t="str">
        <f t="shared" si="196"/>
        <v>偿还融资负债本金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-21397</v>
      </c>
      <c r="O478" s="2">
        <v>195610.25</v>
      </c>
      <c r="P478" s="2">
        <v>0</v>
      </c>
    </row>
    <row r="479" spans="1:16">
      <c r="A479" s="2" t="str">
        <f t="shared" si="193"/>
        <v>20150807</v>
      </c>
      <c r="B479" s="2"/>
      <c r="C479" s="2"/>
      <c r="D479" s="2" t="str">
        <f t="shared" si="196"/>
        <v>偿还融资负债本金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-417.41</v>
      </c>
      <c r="O479" s="2">
        <v>195192.84</v>
      </c>
      <c r="P479" s="2">
        <v>0</v>
      </c>
    </row>
    <row r="480" spans="1:16">
      <c r="A480" s="2" t="str">
        <f t="shared" si="193"/>
        <v>20150807</v>
      </c>
      <c r="B480" s="2"/>
      <c r="C480" s="2"/>
      <c r="D480" s="2" t="str">
        <f>"偿还融资利息"</f>
        <v>偿还融资利息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-1.8</v>
      </c>
      <c r="O480" s="2">
        <v>195191.04</v>
      </c>
      <c r="P480" s="2">
        <v>0</v>
      </c>
    </row>
    <row r="481" spans="1:16">
      <c r="A481" s="2" t="str">
        <f>"20150810"</f>
        <v>20150810</v>
      </c>
      <c r="B481" s="2" t="str">
        <f>"600066"</f>
        <v>600066</v>
      </c>
      <c r="C481" s="2" t="str">
        <f>"宇通客车"</f>
        <v>宇通客车</v>
      </c>
      <c r="D481" s="2" t="str">
        <f>"融资买入"</f>
        <v>融资买入</v>
      </c>
      <c r="E481" s="2">
        <v>22.429</v>
      </c>
      <c r="F481" s="2">
        <v>2000</v>
      </c>
      <c r="G481" s="2">
        <v>44858</v>
      </c>
      <c r="H481" s="2">
        <v>49.34</v>
      </c>
      <c r="I481" s="2">
        <v>46.25</v>
      </c>
      <c r="J481" s="2">
        <v>0</v>
      </c>
      <c r="K481" s="2">
        <v>0.9</v>
      </c>
      <c r="L481" s="2">
        <v>0</v>
      </c>
      <c r="M481" s="2">
        <v>0</v>
      </c>
      <c r="N481" s="2">
        <v>-44908.24</v>
      </c>
      <c r="O481" s="2">
        <v>150282.8</v>
      </c>
      <c r="P481" s="2">
        <v>4000</v>
      </c>
    </row>
    <row r="482" spans="1:16">
      <c r="A482" s="2" t="str">
        <f>"20150810"</f>
        <v>20150810</v>
      </c>
      <c r="B482" s="2"/>
      <c r="C482" s="2"/>
      <c r="D482" s="2" t="str">
        <f>"融资借入"</f>
        <v>融资借入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44908.24</v>
      </c>
      <c r="O482" s="2">
        <v>195191.04</v>
      </c>
      <c r="P482" s="2">
        <v>0</v>
      </c>
    </row>
    <row r="483" spans="1:16">
      <c r="A483" s="2" t="str">
        <f t="shared" ref="A483:A485" si="197">"20150812"</f>
        <v>20150812</v>
      </c>
      <c r="B483" s="2"/>
      <c r="C483" s="2"/>
      <c r="D483" s="2" t="str">
        <f>"证券转银行"</f>
        <v>证券转银行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-100000</v>
      </c>
      <c r="O483" s="2">
        <v>95191.04</v>
      </c>
      <c r="P483" s="2">
        <v>0</v>
      </c>
    </row>
    <row r="484" spans="1:16">
      <c r="A484" s="2" t="str">
        <f t="shared" si="197"/>
        <v>20150812</v>
      </c>
      <c r="B484" s="2"/>
      <c r="C484" s="2"/>
      <c r="D484" s="2" t="str">
        <f>"偿还融资负债本金"</f>
        <v>偿还融资负债本金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-44908.24</v>
      </c>
      <c r="O484" s="2">
        <v>50261.96</v>
      </c>
      <c r="P484" s="2">
        <v>0</v>
      </c>
    </row>
    <row r="485" spans="1:16">
      <c r="A485" s="2" t="str">
        <f t="shared" si="197"/>
        <v>20150812</v>
      </c>
      <c r="B485" s="2"/>
      <c r="C485" s="2"/>
      <c r="D485" s="2" t="str">
        <f>"偿还融资利息"</f>
        <v>偿还融资利息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-20.84</v>
      </c>
      <c r="O485" s="2">
        <v>95170.2</v>
      </c>
      <c r="P485" s="2">
        <v>0</v>
      </c>
    </row>
    <row r="486" spans="1:16">
      <c r="A486" s="2" t="str">
        <f>"20150814"</f>
        <v>20150814</v>
      </c>
      <c r="B486" s="2" t="str">
        <f t="shared" ref="B486:B490" si="198">"600066"</f>
        <v>600066</v>
      </c>
      <c r="C486" s="2" t="str">
        <f t="shared" ref="C486:C490" si="199">"宇通客车"</f>
        <v>宇通客车</v>
      </c>
      <c r="D486" s="2" t="str">
        <f t="shared" ref="D486:D491" si="200">"担保品买入"</f>
        <v>担保品买入</v>
      </c>
      <c r="E486" s="2">
        <v>21.23</v>
      </c>
      <c r="F486" s="2">
        <v>1000</v>
      </c>
      <c r="G486" s="2">
        <v>21230</v>
      </c>
      <c r="H486" s="2">
        <v>6.58</v>
      </c>
      <c r="I486" s="2">
        <v>5.13</v>
      </c>
      <c r="J486" s="2">
        <v>0</v>
      </c>
      <c r="K486" s="2">
        <v>0.42</v>
      </c>
      <c r="L486" s="2">
        <v>0</v>
      </c>
      <c r="M486" s="2">
        <v>0</v>
      </c>
      <c r="N486" s="2">
        <v>-21237</v>
      </c>
      <c r="O486" s="2">
        <v>29024.96</v>
      </c>
      <c r="P486" s="2">
        <v>5000</v>
      </c>
    </row>
    <row r="487" spans="1:16">
      <c r="A487" s="2" t="str">
        <f>"20150817"</f>
        <v>20150817</v>
      </c>
      <c r="B487" s="2" t="str">
        <f t="shared" si="198"/>
        <v>600066</v>
      </c>
      <c r="C487" s="2" t="str">
        <f t="shared" si="199"/>
        <v>宇通客车</v>
      </c>
      <c r="D487" s="2" t="str">
        <f t="shared" ref="D487:D490" si="201">"担保品卖出"</f>
        <v>担保品卖出</v>
      </c>
      <c r="E487" s="2">
        <v>20.94</v>
      </c>
      <c r="F487" s="2">
        <v>2000</v>
      </c>
      <c r="G487" s="2">
        <v>41880</v>
      </c>
      <c r="H487" s="2">
        <v>12.98</v>
      </c>
      <c r="I487" s="2">
        <v>10.1</v>
      </c>
      <c r="J487" s="2">
        <v>41.88</v>
      </c>
      <c r="K487" s="2">
        <v>0.84</v>
      </c>
      <c r="L487" s="2">
        <v>0</v>
      </c>
      <c r="M487" s="2">
        <v>0</v>
      </c>
      <c r="N487" s="2">
        <v>41824.3</v>
      </c>
      <c r="O487" s="2">
        <v>70849.26</v>
      </c>
      <c r="P487" s="2">
        <v>3000</v>
      </c>
    </row>
    <row r="488" spans="1:16">
      <c r="A488" s="2" t="str">
        <f>"20150821"</f>
        <v>20150821</v>
      </c>
      <c r="B488" s="2" t="str">
        <f t="shared" si="198"/>
        <v>600066</v>
      </c>
      <c r="C488" s="2" t="str">
        <f t="shared" si="199"/>
        <v>宇通客车</v>
      </c>
      <c r="D488" s="2" t="str">
        <f t="shared" si="200"/>
        <v>担保品买入</v>
      </c>
      <c r="E488" s="2">
        <v>19.289</v>
      </c>
      <c r="F488" s="2">
        <v>1000</v>
      </c>
      <c r="G488" s="2">
        <v>19289</v>
      </c>
      <c r="H488" s="2">
        <v>5.98</v>
      </c>
      <c r="I488" s="2">
        <v>4.65</v>
      </c>
      <c r="J488" s="2">
        <v>0</v>
      </c>
      <c r="K488" s="2">
        <v>0.39</v>
      </c>
      <c r="L488" s="2">
        <v>0</v>
      </c>
      <c r="M488" s="2">
        <v>0</v>
      </c>
      <c r="N488" s="2">
        <v>-19295.37</v>
      </c>
      <c r="O488" s="2">
        <v>51553.89</v>
      </c>
      <c r="P488" s="2">
        <v>4000</v>
      </c>
    </row>
    <row r="489" spans="1:16">
      <c r="A489" s="2" t="str">
        <f>"20150825"</f>
        <v>20150825</v>
      </c>
      <c r="B489" s="2" t="str">
        <f t="shared" si="198"/>
        <v>600066</v>
      </c>
      <c r="C489" s="2" t="str">
        <f t="shared" si="199"/>
        <v>宇通客车</v>
      </c>
      <c r="D489" s="2" t="str">
        <f t="shared" si="201"/>
        <v>担保品卖出</v>
      </c>
      <c r="E489" s="2">
        <v>17.7</v>
      </c>
      <c r="F489" s="2">
        <v>1000</v>
      </c>
      <c r="G489" s="2">
        <v>17700</v>
      </c>
      <c r="H489" s="2">
        <v>5.49</v>
      </c>
      <c r="I489" s="2">
        <v>4.28</v>
      </c>
      <c r="J489" s="2">
        <v>17.7</v>
      </c>
      <c r="K489" s="2">
        <v>0.35</v>
      </c>
      <c r="L489" s="2">
        <v>0</v>
      </c>
      <c r="M489" s="2">
        <v>0</v>
      </c>
      <c r="N489" s="2">
        <v>17676.46</v>
      </c>
      <c r="O489" s="2">
        <v>69230.35</v>
      </c>
      <c r="P489" s="2">
        <v>3000</v>
      </c>
    </row>
    <row r="490" spans="1:16">
      <c r="A490" s="2" t="str">
        <f>"20150825"</f>
        <v>20150825</v>
      </c>
      <c r="B490" s="2" t="str">
        <f t="shared" si="198"/>
        <v>600066</v>
      </c>
      <c r="C490" s="2" t="str">
        <f t="shared" si="199"/>
        <v>宇通客车</v>
      </c>
      <c r="D490" s="2" t="str">
        <f t="shared" si="201"/>
        <v>担保品卖出</v>
      </c>
      <c r="E490" s="2">
        <v>17.49</v>
      </c>
      <c r="F490" s="2">
        <v>1000</v>
      </c>
      <c r="G490" s="2">
        <v>17490</v>
      </c>
      <c r="H490" s="2">
        <v>5.42</v>
      </c>
      <c r="I490" s="2">
        <v>4.22</v>
      </c>
      <c r="J490" s="2">
        <v>17.49</v>
      </c>
      <c r="K490" s="2">
        <v>0.35</v>
      </c>
      <c r="L490" s="2">
        <v>0</v>
      </c>
      <c r="M490" s="2">
        <v>0</v>
      </c>
      <c r="N490" s="2">
        <v>17466.74</v>
      </c>
      <c r="O490" s="2">
        <v>86697.09</v>
      </c>
      <c r="P490" s="2">
        <v>2000</v>
      </c>
    </row>
    <row r="491" spans="1:16">
      <c r="A491" s="2" t="str">
        <f>"20150827"</f>
        <v>20150827</v>
      </c>
      <c r="B491" s="2" t="str">
        <f>"510300"</f>
        <v>510300</v>
      </c>
      <c r="C491" s="2" t="str">
        <f>"300ETF"</f>
        <v>300ETF</v>
      </c>
      <c r="D491" s="2" t="str">
        <f t="shared" si="200"/>
        <v>担保品买入</v>
      </c>
      <c r="E491" s="2">
        <v>3.109</v>
      </c>
      <c r="F491" s="2">
        <v>2000</v>
      </c>
      <c r="G491" s="2">
        <v>6218</v>
      </c>
      <c r="H491" s="2">
        <v>5</v>
      </c>
      <c r="I491" s="2">
        <v>4.72</v>
      </c>
      <c r="J491" s="2">
        <v>0</v>
      </c>
      <c r="K491" s="2">
        <v>0</v>
      </c>
      <c r="L491" s="2">
        <v>0</v>
      </c>
      <c r="M491" s="2">
        <v>0</v>
      </c>
      <c r="N491" s="2">
        <v>-6223</v>
      </c>
      <c r="O491" s="2">
        <v>80474.09</v>
      </c>
      <c r="P491" s="2">
        <v>2000</v>
      </c>
    </row>
    <row r="492" spans="1:16">
      <c r="A492" s="2" t="str">
        <f>"20150828"</f>
        <v>20150828</v>
      </c>
      <c r="B492" s="2" t="str">
        <f>"510300"</f>
        <v>510300</v>
      </c>
      <c r="C492" s="2" t="str">
        <f>"300ETF"</f>
        <v>300ETF</v>
      </c>
      <c r="D492" s="2" t="str">
        <f t="shared" ref="D492:D499" si="202">"担保品卖出"</f>
        <v>担保品卖出</v>
      </c>
      <c r="E492" s="2">
        <v>3.275</v>
      </c>
      <c r="F492" s="2">
        <v>2000</v>
      </c>
      <c r="G492" s="2">
        <v>6550</v>
      </c>
      <c r="H492" s="2">
        <v>5</v>
      </c>
      <c r="I492" s="2">
        <v>4.71</v>
      </c>
      <c r="J492" s="2">
        <v>0</v>
      </c>
      <c r="K492" s="2">
        <v>0</v>
      </c>
      <c r="L492" s="2">
        <v>0</v>
      </c>
      <c r="M492" s="2">
        <v>0</v>
      </c>
      <c r="N492" s="2">
        <v>6545</v>
      </c>
      <c r="O492" s="2">
        <v>87019.09</v>
      </c>
      <c r="P492" s="2">
        <v>0</v>
      </c>
    </row>
    <row r="493" spans="1:16">
      <c r="A493" s="2" t="str">
        <f t="shared" ref="A493:A495" si="203">"20150902"</f>
        <v>20150902</v>
      </c>
      <c r="B493" s="2" t="str">
        <f>"600219"</f>
        <v>600219</v>
      </c>
      <c r="C493" s="2" t="str">
        <f>"南山铝业"</f>
        <v>南山铝业</v>
      </c>
      <c r="D493" s="2" t="str">
        <f t="shared" ref="D493:D495" si="204">"担保品买入"</f>
        <v>担保品买入</v>
      </c>
      <c r="E493" s="2">
        <v>6.18</v>
      </c>
      <c r="F493" s="2">
        <v>2000</v>
      </c>
      <c r="G493" s="2">
        <v>12360</v>
      </c>
      <c r="H493" s="2">
        <v>5</v>
      </c>
      <c r="I493" s="2">
        <v>4.15</v>
      </c>
      <c r="J493" s="2">
        <v>0</v>
      </c>
      <c r="K493" s="2">
        <v>0.25</v>
      </c>
      <c r="L493" s="2">
        <v>0</v>
      </c>
      <c r="M493" s="2">
        <v>0</v>
      </c>
      <c r="N493" s="2">
        <v>-12365.25</v>
      </c>
      <c r="O493" s="2">
        <v>74653.84</v>
      </c>
      <c r="P493" s="2">
        <v>2000</v>
      </c>
    </row>
    <row r="494" spans="1:16">
      <c r="A494" s="2" t="str">
        <f t="shared" si="203"/>
        <v>20150902</v>
      </c>
      <c r="B494" s="2" t="str">
        <f t="shared" ref="B494:B496" si="205">"002296"</f>
        <v>002296</v>
      </c>
      <c r="C494" s="2" t="str">
        <f t="shared" ref="C494:C496" si="206">"辉煌科技"</f>
        <v>辉煌科技</v>
      </c>
      <c r="D494" s="2" t="str">
        <f t="shared" si="204"/>
        <v>担保品买入</v>
      </c>
      <c r="E494" s="2">
        <v>12.987</v>
      </c>
      <c r="F494" s="2">
        <v>1000</v>
      </c>
      <c r="G494" s="2">
        <v>12987</v>
      </c>
      <c r="H494" s="2">
        <v>5</v>
      </c>
      <c r="I494" s="2">
        <v>3.85</v>
      </c>
      <c r="J494" s="2">
        <v>0</v>
      </c>
      <c r="K494" s="2">
        <v>0</v>
      </c>
      <c r="L494" s="2">
        <v>0</v>
      </c>
      <c r="M494" s="2">
        <v>0</v>
      </c>
      <c r="N494" s="2">
        <v>-12992</v>
      </c>
      <c r="O494" s="2">
        <v>61661.84</v>
      </c>
      <c r="P494" s="2">
        <v>1000</v>
      </c>
    </row>
    <row r="495" spans="1:16">
      <c r="A495" s="2" t="str">
        <f t="shared" si="203"/>
        <v>20150902</v>
      </c>
      <c r="B495" s="2" t="str">
        <f t="shared" si="205"/>
        <v>002296</v>
      </c>
      <c r="C495" s="2" t="str">
        <f t="shared" si="206"/>
        <v>辉煌科技</v>
      </c>
      <c r="D495" s="2" t="str">
        <f t="shared" si="204"/>
        <v>担保品买入</v>
      </c>
      <c r="E495" s="2">
        <v>12.83</v>
      </c>
      <c r="F495" s="2">
        <v>1000</v>
      </c>
      <c r="G495" s="2">
        <v>12830</v>
      </c>
      <c r="H495" s="2">
        <v>5</v>
      </c>
      <c r="I495" s="2">
        <v>3.85</v>
      </c>
      <c r="J495" s="2">
        <v>0</v>
      </c>
      <c r="K495" s="2">
        <v>0</v>
      </c>
      <c r="L495" s="2">
        <v>0</v>
      </c>
      <c r="M495" s="2">
        <v>0</v>
      </c>
      <c r="N495" s="2">
        <v>-12835</v>
      </c>
      <c r="O495" s="2">
        <v>48826.84</v>
      </c>
      <c r="P495" s="2">
        <v>2000</v>
      </c>
    </row>
    <row r="496" spans="1:16">
      <c r="A496" s="2" t="str">
        <f t="shared" ref="A496:A498" si="207">"20150907"</f>
        <v>20150907</v>
      </c>
      <c r="B496" s="2" t="str">
        <f t="shared" si="205"/>
        <v>002296</v>
      </c>
      <c r="C496" s="2" t="str">
        <f t="shared" si="206"/>
        <v>辉煌科技</v>
      </c>
      <c r="D496" s="2" t="str">
        <f t="shared" si="202"/>
        <v>担保品卖出</v>
      </c>
      <c r="E496" s="2">
        <v>13.61</v>
      </c>
      <c r="F496" s="2">
        <v>1000</v>
      </c>
      <c r="G496" s="2">
        <v>13610</v>
      </c>
      <c r="H496" s="2">
        <v>5</v>
      </c>
      <c r="I496" s="2">
        <v>3.78</v>
      </c>
      <c r="J496" s="2">
        <v>13.61</v>
      </c>
      <c r="K496" s="2">
        <v>0</v>
      </c>
      <c r="L496" s="2">
        <v>0</v>
      </c>
      <c r="M496" s="2">
        <v>0</v>
      </c>
      <c r="N496" s="2">
        <v>13591.39</v>
      </c>
      <c r="O496" s="2">
        <v>62418.23</v>
      </c>
      <c r="P496" s="2">
        <v>1000</v>
      </c>
    </row>
    <row r="497" spans="1:16">
      <c r="A497" s="2" t="str">
        <f t="shared" si="207"/>
        <v>20150907</v>
      </c>
      <c r="B497" s="2" t="str">
        <f>"600219"</f>
        <v>600219</v>
      </c>
      <c r="C497" s="2" t="str">
        <f>"南山铝业"</f>
        <v>南山铝业</v>
      </c>
      <c r="D497" s="2" t="str">
        <f t="shared" si="202"/>
        <v>担保品卖出</v>
      </c>
      <c r="E497" s="2">
        <v>6.55</v>
      </c>
      <c r="F497" s="2">
        <v>2000</v>
      </c>
      <c r="G497" s="2">
        <v>13100</v>
      </c>
      <c r="H497" s="2">
        <v>5</v>
      </c>
      <c r="I497" s="2">
        <v>4.1</v>
      </c>
      <c r="J497" s="2">
        <v>13.1</v>
      </c>
      <c r="K497" s="2">
        <v>0.26</v>
      </c>
      <c r="L497" s="2">
        <v>0</v>
      </c>
      <c r="M497" s="2">
        <v>0</v>
      </c>
      <c r="N497" s="2">
        <v>13081.64</v>
      </c>
      <c r="O497" s="2">
        <v>75499.87</v>
      </c>
      <c r="P497" s="2">
        <v>0</v>
      </c>
    </row>
    <row r="498" spans="1:16">
      <c r="A498" s="2" t="str">
        <f t="shared" si="207"/>
        <v>20150907</v>
      </c>
      <c r="B498" s="2" t="str">
        <f>"002296"</f>
        <v>002296</v>
      </c>
      <c r="C498" s="2" t="str">
        <f>"辉煌科技"</f>
        <v>辉煌科技</v>
      </c>
      <c r="D498" s="2" t="str">
        <f t="shared" si="202"/>
        <v>担保品卖出</v>
      </c>
      <c r="E498" s="2">
        <v>13.57</v>
      </c>
      <c r="F498" s="2">
        <v>1000</v>
      </c>
      <c r="G498" s="2">
        <v>13570</v>
      </c>
      <c r="H498" s="2">
        <v>5</v>
      </c>
      <c r="I498" s="2">
        <v>3.8</v>
      </c>
      <c r="J498" s="2">
        <v>13.57</v>
      </c>
      <c r="K498" s="2">
        <v>0</v>
      </c>
      <c r="L498" s="2">
        <v>0</v>
      </c>
      <c r="M498" s="2">
        <v>0</v>
      </c>
      <c r="N498" s="2">
        <v>13551.43</v>
      </c>
      <c r="O498" s="2">
        <v>89051.3</v>
      </c>
      <c r="P498" s="2">
        <v>0</v>
      </c>
    </row>
    <row r="499" spans="1:16">
      <c r="A499" s="2" t="str">
        <f t="shared" ref="A499:A501" si="208">"20150909"</f>
        <v>20150909</v>
      </c>
      <c r="B499" s="2" t="str">
        <f t="shared" ref="B499:B505" si="209">"600066"</f>
        <v>600066</v>
      </c>
      <c r="C499" s="2" t="str">
        <f t="shared" ref="C499:C505" si="210">"宇通客车"</f>
        <v>宇通客车</v>
      </c>
      <c r="D499" s="2" t="str">
        <f t="shared" si="202"/>
        <v>担保品卖出</v>
      </c>
      <c r="E499" s="2">
        <v>18.69</v>
      </c>
      <c r="F499" s="2">
        <v>1000</v>
      </c>
      <c r="G499" s="2">
        <v>18690</v>
      </c>
      <c r="H499" s="2">
        <v>5.79</v>
      </c>
      <c r="I499" s="2">
        <v>4.51</v>
      </c>
      <c r="J499" s="2">
        <v>18.69</v>
      </c>
      <c r="K499" s="2">
        <v>0.37</v>
      </c>
      <c r="L499" s="2">
        <v>0</v>
      </c>
      <c r="M499" s="2">
        <v>0</v>
      </c>
      <c r="N499" s="2">
        <v>18665.15</v>
      </c>
      <c r="O499" s="2">
        <v>107716.45</v>
      </c>
      <c r="P499" s="2">
        <v>1000</v>
      </c>
    </row>
    <row r="500" spans="1:16">
      <c r="A500" s="2" t="str">
        <f t="shared" si="208"/>
        <v>20150909</v>
      </c>
      <c r="B500" s="2" t="str">
        <f t="shared" si="209"/>
        <v>600066</v>
      </c>
      <c r="C500" s="2" t="str">
        <f t="shared" si="210"/>
        <v>宇通客车</v>
      </c>
      <c r="D500" s="2" t="str">
        <f>"融资买入"</f>
        <v>融资买入</v>
      </c>
      <c r="E500" s="2">
        <v>18.99</v>
      </c>
      <c r="F500" s="2">
        <v>3000</v>
      </c>
      <c r="G500" s="2">
        <v>56970</v>
      </c>
      <c r="H500" s="2">
        <v>62.67</v>
      </c>
      <c r="I500" s="2">
        <v>58.76</v>
      </c>
      <c r="J500" s="2">
        <v>0</v>
      </c>
      <c r="K500" s="2">
        <v>1.14</v>
      </c>
      <c r="L500" s="2">
        <v>0</v>
      </c>
      <c r="M500" s="2">
        <v>0</v>
      </c>
      <c r="N500" s="2">
        <v>-57033.81</v>
      </c>
      <c r="O500" s="2">
        <v>50682.64</v>
      </c>
      <c r="P500" s="2">
        <v>4000</v>
      </c>
    </row>
    <row r="501" spans="1:16">
      <c r="A501" s="2" t="str">
        <f t="shared" si="208"/>
        <v>20150909</v>
      </c>
      <c r="B501" s="2"/>
      <c r="C501" s="2"/>
      <c r="D501" s="2" t="str">
        <f>"融资借入"</f>
        <v>融资借入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57033.81</v>
      </c>
      <c r="O501" s="2">
        <v>107716.45</v>
      </c>
      <c r="P501" s="2">
        <v>0</v>
      </c>
    </row>
    <row r="502" spans="1:16">
      <c r="A502" s="2" t="str">
        <f>"20150911"</f>
        <v>20150911</v>
      </c>
      <c r="B502" s="2" t="str">
        <f>"601166"</f>
        <v>601166</v>
      </c>
      <c r="C502" s="2" t="str">
        <f>"兴业银行"</f>
        <v>兴业银行</v>
      </c>
      <c r="D502" s="2" t="str">
        <f>"担保品买入"</f>
        <v>担保品买入</v>
      </c>
      <c r="E502" s="2">
        <v>14.69</v>
      </c>
      <c r="F502" s="2">
        <v>1000</v>
      </c>
      <c r="G502" s="2">
        <v>14690</v>
      </c>
      <c r="H502" s="2">
        <v>5</v>
      </c>
      <c r="I502" s="2">
        <v>3.99</v>
      </c>
      <c r="J502" s="2">
        <v>0</v>
      </c>
      <c r="K502" s="2">
        <v>0.29</v>
      </c>
      <c r="L502" s="2">
        <v>0</v>
      </c>
      <c r="M502" s="2">
        <v>0</v>
      </c>
      <c r="N502" s="2">
        <v>-14695.29</v>
      </c>
      <c r="O502" s="2">
        <v>93021.16</v>
      </c>
      <c r="P502" s="2">
        <v>1000</v>
      </c>
    </row>
    <row r="503" spans="1:16">
      <c r="A503" s="2" t="str">
        <f>"20150914"</f>
        <v>20150914</v>
      </c>
      <c r="B503" s="2" t="str">
        <f>"601166"</f>
        <v>601166</v>
      </c>
      <c r="C503" s="2" t="str">
        <f>"兴业银行"</f>
        <v>兴业银行</v>
      </c>
      <c r="D503" s="2" t="str">
        <f>"担保品卖出"</f>
        <v>担保品卖出</v>
      </c>
      <c r="E503" s="2">
        <v>14.48</v>
      </c>
      <c r="F503" s="2">
        <v>1000</v>
      </c>
      <c r="G503" s="2">
        <v>14480</v>
      </c>
      <c r="H503" s="2">
        <v>5</v>
      </c>
      <c r="I503" s="2">
        <v>4</v>
      </c>
      <c r="J503" s="2">
        <v>14.48</v>
      </c>
      <c r="K503" s="2">
        <v>0.29</v>
      </c>
      <c r="L503" s="2">
        <v>0</v>
      </c>
      <c r="M503" s="2">
        <v>0</v>
      </c>
      <c r="N503" s="2">
        <v>14460.23</v>
      </c>
      <c r="O503" s="2">
        <v>107481.39</v>
      </c>
      <c r="P503" s="2">
        <v>0</v>
      </c>
    </row>
    <row r="504" spans="1:16">
      <c r="A504" s="2" t="str">
        <f t="shared" ref="A504:A507" si="211">"20150915"</f>
        <v>20150915</v>
      </c>
      <c r="B504" s="2" t="str">
        <f t="shared" si="209"/>
        <v>600066</v>
      </c>
      <c r="C504" s="2" t="str">
        <f t="shared" si="210"/>
        <v>宇通客车</v>
      </c>
      <c r="D504" s="2" t="str">
        <f>"担保品买入"</f>
        <v>担保品买入</v>
      </c>
      <c r="E504" s="2">
        <v>17.69</v>
      </c>
      <c r="F504" s="2">
        <v>1000</v>
      </c>
      <c r="G504" s="2">
        <v>17690</v>
      </c>
      <c r="H504" s="2">
        <v>5.48</v>
      </c>
      <c r="I504" s="2">
        <v>4.26</v>
      </c>
      <c r="J504" s="2">
        <v>0</v>
      </c>
      <c r="K504" s="2">
        <v>0.35</v>
      </c>
      <c r="L504" s="2">
        <v>0</v>
      </c>
      <c r="M504" s="2">
        <v>0</v>
      </c>
      <c r="N504" s="2">
        <v>-17695.83</v>
      </c>
      <c r="O504" s="2">
        <v>89785.56</v>
      </c>
      <c r="P504" s="2">
        <v>5000</v>
      </c>
    </row>
    <row r="505" spans="1:16">
      <c r="A505" s="2" t="str">
        <f t="shared" si="211"/>
        <v>20150915</v>
      </c>
      <c r="B505" s="2" t="str">
        <f t="shared" si="209"/>
        <v>600066</v>
      </c>
      <c r="C505" s="2" t="str">
        <f t="shared" si="210"/>
        <v>宇通客车</v>
      </c>
      <c r="D505" s="2" t="str">
        <f>"担保品卖出"</f>
        <v>担保品卖出</v>
      </c>
      <c r="E505" s="2">
        <v>17.96</v>
      </c>
      <c r="F505" s="2">
        <v>1000</v>
      </c>
      <c r="G505" s="2">
        <v>17960</v>
      </c>
      <c r="H505" s="2">
        <v>5.57</v>
      </c>
      <c r="I505" s="2">
        <v>4.33</v>
      </c>
      <c r="J505" s="2">
        <v>17.96</v>
      </c>
      <c r="K505" s="2">
        <v>0.36</v>
      </c>
      <c r="L505" s="2">
        <v>0</v>
      </c>
      <c r="M505" s="2">
        <v>0</v>
      </c>
      <c r="N505" s="2">
        <v>17936.11</v>
      </c>
      <c r="O505" s="2">
        <v>107721.67</v>
      </c>
      <c r="P505" s="2">
        <v>4000</v>
      </c>
    </row>
    <row r="506" spans="1:16">
      <c r="A506" s="2" t="str">
        <f t="shared" si="211"/>
        <v>20150915</v>
      </c>
      <c r="B506" s="2"/>
      <c r="C506" s="2"/>
      <c r="D506" s="2" t="str">
        <f t="shared" ref="D506:D510" si="212">"偿还融资负债本金"</f>
        <v>偿还融资负债本金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-16099.03</v>
      </c>
      <c r="O506" s="2">
        <v>91622.64</v>
      </c>
      <c r="P506" s="2">
        <v>0</v>
      </c>
    </row>
    <row r="507" spans="1:16">
      <c r="A507" s="2" t="str">
        <f t="shared" si="211"/>
        <v>20150915</v>
      </c>
      <c r="B507" s="2"/>
      <c r="C507" s="2"/>
      <c r="D507" s="2" t="str">
        <f t="shared" si="212"/>
        <v>偿还融资负债本金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-1788.77</v>
      </c>
      <c r="O507" s="2">
        <v>89833.87</v>
      </c>
      <c r="P507" s="2">
        <v>0</v>
      </c>
    </row>
    <row r="508" spans="1:16">
      <c r="A508" s="2" t="str">
        <f t="shared" ref="A508:A510" si="213">"20150917"</f>
        <v>20150917</v>
      </c>
      <c r="B508" s="2" t="str">
        <f>"600066"</f>
        <v>600066</v>
      </c>
      <c r="C508" s="2" t="str">
        <f>"宇通客车"</f>
        <v>宇通客车</v>
      </c>
      <c r="D508" s="2" t="str">
        <f>"卖券还款"</f>
        <v>卖券还款</v>
      </c>
      <c r="E508" s="2">
        <v>18.6</v>
      </c>
      <c r="F508" s="2">
        <v>1000</v>
      </c>
      <c r="G508" s="2">
        <v>18600</v>
      </c>
      <c r="H508" s="2">
        <v>20.46</v>
      </c>
      <c r="I508" s="2">
        <v>19.18</v>
      </c>
      <c r="J508" s="2">
        <v>18.6</v>
      </c>
      <c r="K508" s="2">
        <v>0.37</v>
      </c>
      <c r="L508" s="2">
        <v>0</v>
      </c>
      <c r="M508" s="2">
        <v>0</v>
      </c>
      <c r="N508" s="2">
        <v>18560.57</v>
      </c>
      <c r="O508" s="2">
        <v>108394.44</v>
      </c>
      <c r="P508" s="2">
        <v>3000</v>
      </c>
    </row>
    <row r="509" spans="1:16">
      <c r="A509" s="2" t="str">
        <f t="shared" si="213"/>
        <v>20150917</v>
      </c>
      <c r="B509" s="2"/>
      <c r="C509" s="2"/>
      <c r="D509" s="2" t="str">
        <f>"偿还融资利息"</f>
        <v>偿还融资利息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-97.54</v>
      </c>
      <c r="O509" s="2">
        <v>108296.9</v>
      </c>
      <c r="P509" s="2">
        <v>0</v>
      </c>
    </row>
    <row r="510" spans="1:16">
      <c r="A510" s="2" t="str">
        <f t="shared" si="213"/>
        <v>20150917</v>
      </c>
      <c r="B510" s="2"/>
      <c r="C510" s="2"/>
      <c r="D510" s="2" t="str">
        <f t="shared" si="212"/>
        <v>偿还融资负债本金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-18463.03</v>
      </c>
      <c r="O510" s="2">
        <v>89833.87</v>
      </c>
      <c r="P510" s="2">
        <v>0</v>
      </c>
    </row>
    <row r="511" spans="1:16">
      <c r="A511" s="2" t="str">
        <f t="shared" ref="A511:A513" si="214">"20150918"</f>
        <v>20150918</v>
      </c>
      <c r="B511" s="2" t="str">
        <f>"002296"</f>
        <v>002296</v>
      </c>
      <c r="C511" s="2" t="str">
        <f>"辉煌科技"</f>
        <v>辉煌科技</v>
      </c>
      <c r="D511" s="2" t="str">
        <f>"担保品买入"</f>
        <v>担保品买入</v>
      </c>
      <c r="E511" s="2">
        <v>14.1</v>
      </c>
      <c r="F511" s="2">
        <v>1000</v>
      </c>
      <c r="G511" s="2">
        <v>14100</v>
      </c>
      <c r="H511" s="2">
        <v>5</v>
      </c>
      <c r="I511" s="2">
        <v>3.75</v>
      </c>
      <c r="J511" s="2">
        <v>0</v>
      </c>
      <c r="K511" s="2">
        <v>0</v>
      </c>
      <c r="L511" s="2">
        <v>0</v>
      </c>
      <c r="M511" s="2">
        <v>0</v>
      </c>
      <c r="N511" s="2">
        <v>-14105</v>
      </c>
      <c r="O511" s="2">
        <v>75728.87</v>
      </c>
      <c r="P511" s="2">
        <v>1000</v>
      </c>
    </row>
    <row r="512" spans="1:16">
      <c r="A512" s="2" t="str">
        <f t="shared" si="214"/>
        <v>20150918</v>
      </c>
      <c r="B512" s="2"/>
      <c r="C512" s="2"/>
      <c r="D512" s="2" t="str">
        <f>"偿还融资负债本金"</f>
        <v>偿还融资负债本金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-20682.98</v>
      </c>
      <c r="O512" s="2">
        <v>55041.09</v>
      </c>
      <c r="P512" s="2">
        <v>0</v>
      </c>
    </row>
    <row r="513" spans="1:16">
      <c r="A513" s="2" t="str">
        <f t="shared" si="214"/>
        <v>20150918</v>
      </c>
      <c r="B513" s="2"/>
      <c r="C513" s="2"/>
      <c r="D513" s="2" t="str">
        <f>"偿还融资利息"</f>
        <v>偿还融资利息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-4.8</v>
      </c>
      <c r="O513" s="2">
        <v>75724.07</v>
      </c>
      <c r="P513" s="2">
        <v>0</v>
      </c>
    </row>
    <row r="514" spans="1:16">
      <c r="A514" s="2" t="str">
        <f>"20150921"</f>
        <v>20150921</v>
      </c>
      <c r="B514" s="2"/>
      <c r="C514" s="2"/>
      <c r="D514" s="2" t="str">
        <f>"利息归本"</f>
        <v>利息归本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72.5</v>
      </c>
      <c r="O514" s="2">
        <v>55113.59</v>
      </c>
      <c r="P514" s="2">
        <v>0</v>
      </c>
    </row>
    <row r="515" spans="1:16">
      <c r="A515" s="2" t="str">
        <f>"20150921"</f>
        <v>20150921</v>
      </c>
      <c r="B515" s="2" t="str">
        <f>"002296"</f>
        <v>002296</v>
      </c>
      <c r="C515" s="2" t="str">
        <f>"辉煌科技"</f>
        <v>辉煌科技</v>
      </c>
      <c r="D515" s="2" t="str">
        <f t="shared" ref="D515:D518" si="215">"担保品卖出"</f>
        <v>担保品卖出</v>
      </c>
      <c r="E515" s="2">
        <v>14.413</v>
      </c>
      <c r="F515" s="2">
        <v>1000</v>
      </c>
      <c r="G515" s="2">
        <v>14413</v>
      </c>
      <c r="H515" s="2">
        <v>5</v>
      </c>
      <c r="I515" s="2">
        <v>3.72</v>
      </c>
      <c r="J515" s="2">
        <v>14.41</v>
      </c>
      <c r="K515" s="2">
        <v>0</v>
      </c>
      <c r="L515" s="2">
        <v>0</v>
      </c>
      <c r="M515" s="2">
        <v>0</v>
      </c>
      <c r="N515" s="2">
        <v>14393.59</v>
      </c>
      <c r="O515" s="2">
        <v>69507.18</v>
      </c>
      <c r="P515" s="2">
        <v>0</v>
      </c>
    </row>
    <row r="516" spans="1:16">
      <c r="A516" s="2" t="str">
        <f>"20150924"</f>
        <v>20150924</v>
      </c>
      <c r="B516" s="2"/>
      <c r="C516" s="2"/>
      <c r="D516" s="2" t="str">
        <f>"证券转银行"</f>
        <v>证券转银行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-50000</v>
      </c>
      <c r="O516" s="2">
        <v>19507.18</v>
      </c>
      <c r="P516" s="2">
        <v>0</v>
      </c>
    </row>
    <row r="517" spans="1:16">
      <c r="A517" s="2" t="str">
        <f>"20151013"</f>
        <v>20151013</v>
      </c>
      <c r="B517" s="2" t="str">
        <f t="shared" ref="B517:B524" si="216">"600066"</f>
        <v>600066</v>
      </c>
      <c r="C517" s="2" t="str">
        <f t="shared" ref="C517:C524" si="217">"宇通客车"</f>
        <v>宇通客车</v>
      </c>
      <c r="D517" s="2" t="str">
        <f t="shared" si="215"/>
        <v>担保品卖出</v>
      </c>
      <c r="E517" s="2">
        <v>20.1</v>
      </c>
      <c r="F517" s="2">
        <v>1000</v>
      </c>
      <c r="G517" s="2">
        <v>20100</v>
      </c>
      <c r="H517" s="2">
        <v>6.23</v>
      </c>
      <c r="I517" s="2">
        <v>4.84</v>
      </c>
      <c r="J517" s="2">
        <v>20.1</v>
      </c>
      <c r="K517" s="2">
        <v>0.4</v>
      </c>
      <c r="L517" s="2">
        <v>0</v>
      </c>
      <c r="M517" s="2">
        <v>0</v>
      </c>
      <c r="N517" s="2">
        <v>20073.27</v>
      </c>
      <c r="O517" s="2">
        <v>39580.45</v>
      </c>
      <c r="P517" s="2">
        <v>2000</v>
      </c>
    </row>
    <row r="518" spans="1:16">
      <c r="A518" s="2" t="str">
        <f>"20151016"</f>
        <v>20151016</v>
      </c>
      <c r="B518" s="2" t="str">
        <f t="shared" si="216"/>
        <v>600066</v>
      </c>
      <c r="C518" s="2" t="str">
        <f t="shared" si="217"/>
        <v>宇通客车</v>
      </c>
      <c r="D518" s="2" t="str">
        <f t="shared" si="215"/>
        <v>担保品卖出</v>
      </c>
      <c r="E518" s="2">
        <v>20.68</v>
      </c>
      <c r="F518" s="2">
        <v>500</v>
      </c>
      <c r="G518" s="2">
        <v>10340</v>
      </c>
      <c r="H518" s="2">
        <v>5</v>
      </c>
      <c r="I518" s="2">
        <v>4.3</v>
      </c>
      <c r="J518" s="2">
        <v>10.34</v>
      </c>
      <c r="K518" s="2">
        <v>0.21</v>
      </c>
      <c r="L518" s="2">
        <v>0</v>
      </c>
      <c r="M518" s="2">
        <v>0</v>
      </c>
      <c r="N518" s="2">
        <v>10324.45</v>
      </c>
      <c r="O518" s="2">
        <v>49904.9</v>
      </c>
      <c r="P518" s="2">
        <v>1500</v>
      </c>
    </row>
    <row r="519" spans="1:16">
      <c r="A519" s="2" t="str">
        <f>"20151016"</f>
        <v>20151016</v>
      </c>
      <c r="B519" s="2" t="str">
        <f t="shared" si="216"/>
        <v>600066</v>
      </c>
      <c r="C519" s="2" t="str">
        <f t="shared" si="217"/>
        <v>宇通客车</v>
      </c>
      <c r="D519" s="2" t="str">
        <f t="shared" ref="D519:D525" si="218">"担保品买入"</f>
        <v>担保品买入</v>
      </c>
      <c r="E519" s="2">
        <v>20.29</v>
      </c>
      <c r="F519" s="2">
        <v>500</v>
      </c>
      <c r="G519" s="2">
        <v>10145</v>
      </c>
      <c r="H519" s="2">
        <v>5</v>
      </c>
      <c r="I519" s="2">
        <v>4.31</v>
      </c>
      <c r="J519" s="2">
        <v>0</v>
      </c>
      <c r="K519" s="2">
        <v>0.2</v>
      </c>
      <c r="L519" s="2">
        <v>0</v>
      </c>
      <c r="M519" s="2">
        <v>0</v>
      </c>
      <c r="N519" s="2">
        <v>-10150.2</v>
      </c>
      <c r="O519" s="2">
        <v>39754.7</v>
      </c>
      <c r="P519" s="2">
        <v>2000</v>
      </c>
    </row>
    <row r="520" spans="1:16">
      <c r="A520" s="2" t="str">
        <f t="shared" ref="A520:A522" si="219">"20151019"</f>
        <v>20151019</v>
      </c>
      <c r="B520" s="2" t="str">
        <f t="shared" si="216"/>
        <v>600066</v>
      </c>
      <c r="C520" s="2" t="str">
        <f t="shared" si="217"/>
        <v>宇通客车</v>
      </c>
      <c r="D520" s="2" t="str">
        <f t="shared" ref="D520:D523" si="220">"担保品卖出"</f>
        <v>担保品卖出</v>
      </c>
      <c r="E520" s="2">
        <v>20.65</v>
      </c>
      <c r="F520" s="2">
        <v>500</v>
      </c>
      <c r="G520" s="2">
        <v>10325</v>
      </c>
      <c r="H520" s="2">
        <v>5</v>
      </c>
      <c r="I520" s="2">
        <v>4.29</v>
      </c>
      <c r="J520" s="2">
        <v>10.33</v>
      </c>
      <c r="K520" s="2">
        <v>0.21</v>
      </c>
      <c r="L520" s="2">
        <v>0</v>
      </c>
      <c r="M520" s="2">
        <v>0</v>
      </c>
      <c r="N520" s="2">
        <v>10309.46</v>
      </c>
      <c r="O520" s="2">
        <v>50064.16</v>
      </c>
      <c r="P520" s="2">
        <v>1500</v>
      </c>
    </row>
    <row r="521" spans="1:16">
      <c r="A521" s="2" t="str">
        <f t="shared" si="219"/>
        <v>20151019</v>
      </c>
      <c r="B521" s="2" t="str">
        <f t="shared" si="216"/>
        <v>600066</v>
      </c>
      <c r="C521" s="2" t="str">
        <f t="shared" si="217"/>
        <v>宇通客车</v>
      </c>
      <c r="D521" s="2" t="str">
        <f t="shared" si="220"/>
        <v>担保品卖出</v>
      </c>
      <c r="E521" s="2">
        <v>21.55</v>
      </c>
      <c r="F521" s="2">
        <v>500</v>
      </c>
      <c r="G521" s="2">
        <v>10775</v>
      </c>
      <c r="H521" s="2">
        <v>5</v>
      </c>
      <c r="I521" s="2">
        <v>4.26</v>
      </c>
      <c r="J521" s="2">
        <v>10.78</v>
      </c>
      <c r="K521" s="2">
        <v>0.22</v>
      </c>
      <c r="L521" s="2">
        <v>0</v>
      </c>
      <c r="M521" s="2">
        <v>0</v>
      </c>
      <c r="N521" s="2">
        <v>10759</v>
      </c>
      <c r="O521" s="2">
        <v>60823.16</v>
      </c>
      <c r="P521" s="2">
        <v>1000</v>
      </c>
    </row>
    <row r="522" spans="1:16">
      <c r="A522" s="2" t="str">
        <f t="shared" si="219"/>
        <v>20151019</v>
      </c>
      <c r="B522" s="2" t="str">
        <f t="shared" si="216"/>
        <v>600066</v>
      </c>
      <c r="C522" s="2" t="str">
        <f t="shared" si="217"/>
        <v>宇通客车</v>
      </c>
      <c r="D522" s="2" t="str">
        <f t="shared" si="218"/>
        <v>担保品买入</v>
      </c>
      <c r="E522" s="2">
        <v>21.13</v>
      </c>
      <c r="F522" s="2">
        <v>500</v>
      </c>
      <c r="G522" s="2">
        <v>10565</v>
      </c>
      <c r="H522" s="2">
        <v>5</v>
      </c>
      <c r="I522" s="2">
        <v>4.28</v>
      </c>
      <c r="J522" s="2">
        <v>0</v>
      </c>
      <c r="K522" s="2">
        <v>0.21</v>
      </c>
      <c r="L522" s="2">
        <v>0</v>
      </c>
      <c r="M522" s="2">
        <v>0</v>
      </c>
      <c r="N522" s="2">
        <v>-10570.21</v>
      </c>
      <c r="O522" s="2">
        <v>50252.95</v>
      </c>
      <c r="P522" s="2">
        <v>1500</v>
      </c>
    </row>
    <row r="523" spans="1:16">
      <c r="A523" s="2" t="str">
        <f>"20151020"</f>
        <v>20151020</v>
      </c>
      <c r="B523" s="2" t="str">
        <f t="shared" si="216"/>
        <v>600066</v>
      </c>
      <c r="C523" s="2" t="str">
        <f t="shared" si="217"/>
        <v>宇通客车</v>
      </c>
      <c r="D523" s="2" t="str">
        <f t="shared" si="220"/>
        <v>担保品卖出</v>
      </c>
      <c r="E523" s="2">
        <v>21.5</v>
      </c>
      <c r="F523" s="2">
        <v>500</v>
      </c>
      <c r="G523" s="2">
        <v>10750</v>
      </c>
      <c r="H523" s="2">
        <v>5</v>
      </c>
      <c r="I523" s="2">
        <v>4.26</v>
      </c>
      <c r="J523" s="2">
        <v>10.75</v>
      </c>
      <c r="K523" s="2">
        <v>0.22</v>
      </c>
      <c r="L523" s="2">
        <v>0</v>
      </c>
      <c r="M523" s="2">
        <v>0</v>
      </c>
      <c r="N523" s="2">
        <v>10734.03</v>
      </c>
      <c r="O523" s="2">
        <v>60986.98</v>
      </c>
      <c r="P523" s="2">
        <v>1000</v>
      </c>
    </row>
    <row r="524" spans="1:16">
      <c r="A524" s="2" t="str">
        <f>"20151021"</f>
        <v>20151021</v>
      </c>
      <c r="B524" s="2" t="str">
        <f t="shared" si="216"/>
        <v>600066</v>
      </c>
      <c r="C524" s="2" t="str">
        <f t="shared" si="217"/>
        <v>宇通客车</v>
      </c>
      <c r="D524" s="2" t="str">
        <f t="shared" si="218"/>
        <v>担保品买入</v>
      </c>
      <c r="E524" s="2">
        <v>20.43</v>
      </c>
      <c r="F524" s="2">
        <v>500</v>
      </c>
      <c r="G524" s="2">
        <v>10215</v>
      </c>
      <c r="H524" s="2">
        <v>5</v>
      </c>
      <c r="I524" s="2">
        <v>4.3</v>
      </c>
      <c r="J524" s="2">
        <v>0</v>
      </c>
      <c r="K524" s="2">
        <v>0.2</v>
      </c>
      <c r="L524" s="2">
        <v>0</v>
      </c>
      <c r="M524" s="2">
        <v>0</v>
      </c>
      <c r="N524" s="2">
        <v>-10220.2</v>
      </c>
      <c r="O524" s="2">
        <v>50766.78</v>
      </c>
      <c r="P524" s="2">
        <v>1500</v>
      </c>
    </row>
    <row r="525" spans="1:16">
      <c r="A525" s="2" t="str">
        <f>"20151022"</f>
        <v>20151022</v>
      </c>
      <c r="B525" s="2" t="str">
        <f>"600575"</f>
        <v>600575</v>
      </c>
      <c r="C525" s="2" t="str">
        <f>"皖江物流"</f>
        <v>皖江物流</v>
      </c>
      <c r="D525" s="2" t="str">
        <f t="shared" si="218"/>
        <v>担保品买入</v>
      </c>
      <c r="E525" s="2">
        <v>5.7</v>
      </c>
      <c r="F525" s="2">
        <v>2000</v>
      </c>
      <c r="G525" s="2">
        <v>11400</v>
      </c>
      <c r="H525" s="2">
        <v>5</v>
      </c>
      <c r="I525" s="2">
        <v>4.21</v>
      </c>
      <c r="J525" s="2">
        <v>0</v>
      </c>
      <c r="K525" s="2">
        <v>0.23</v>
      </c>
      <c r="L525" s="2">
        <v>0</v>
      </c>
      <c r="M525" s="2">
        <v>0</v>
      </c>
      <c r="N525" s="2">
        <v>-11405.23</v>
      </c>
      <c r="O525" s="2">
        <v>39361.55</v>
      </c>
      <c r="P525" s="2">
        <v>2000</v>
      </c>
    </row>
    <row r="526" spans="1:16">
      <c r="A526" s="2" t="str">
        <f>"20151022"</f>
        <v>20151022</v>
      </c>
      <c r="B526" s="2" t="str">
        <f t="shared" ref="B526:B531" si="221">"600066"</f>
        <v>600066</v>
      </c>
      <c r="C526" s="2" t="str">
        <f t="shared" ref="C526:C531" si="222">"宇通客车"</f>
        <v>宇通客车</v>
      </c>
      <c r="D526" s="2" t="str">
        <f t="shared" ref="D526:D530" si="223">"担保品卖出"</f>
        <v>担保品卖出</v>
      </c>
      <c r="E526" s="2">
        <v>20.64</v>
      </c>
      <c r="F526" s="2">
        <v>500</v>
      </c>
      <c r="G526" s="2">
        <v>10320</v>
      </c>
      <c r="H526" s="2">
        <v>5</v>
      </c>
      <c r="I526" s="2">
        <v>4.29</v>
      </c>
      <c r="J526" s="2">
        <v>10.32</v>
      </c>
      <c r="K526" s="2">
        <v>0.21</v>
      </c>
      <c r="L526" s="2">
        <v>0</v>
      </c>
      <c r="M526" s="2">
        <v>0</v>
      </c>
      <c r="N526" s="2">
        <v>10304.47</v>
      </c>
      <c r="O526" s="2">
        <v>49666.02</v>
      </c>
      <c r="P526" s="2">
        <v>1000</v>
      </c>
    </row>
    <row r="527" spans="1:16">
      <c r="A527" s="2" t="str">
        <f>"20151028"</f>
        <v>20151028</v>
      </c>
      <c r="B527" s="2" t="str">
        <f t="shared" si="221"/>
        <v>600066</v>
      </c>
      <c r="C527" s="2" t="str">
        <f t="shared" si="222"/>
        <v>宇通客车</v>
      </c>
      <c r="D527" s="2" t="str">
        <f t="shared" si="223"/>
        <v>担保品卖出</v>
      </c>
      <c r="E527" s="2">
        <v>21.826</v>
      </c>
      <c r="F527" s="2">
        <v>500</v>
      </c>
      <c r="G527" s="2">
        <v>10913</v>
      </c>
      <c r="H527" s="2">
        <v>5</v>
      </c>
      <c r="I527" s="2">
        <v>4.25</v>
      </c>
      <c r="J527" s="2">
        <v>10.91</v>
      </c>
      <c r="K527" s="2">
        <v>0.22</v>
      </c>
      <c r="L527" s="2">
        <v>0</v>
      </c>
      <c r="M527" s="2">
        <v>0</v>
      </c>
      <c r="N527" s="2">
        <v>10896.87</v>
      </c>
      <c r="O527" s="2">
        <v>60562.89</v>
      </c>
      <c r="P527" s="2">
        <v>500</v>
      </c>
    </row>
    <row r="528" spans="1:16">
      <c r="A528" s="2" t="str">
        <f>"20151102"</f>
        <v>20151102</v>
      </c>
      <c r="B528" s="2" t="str">
        <f t="shared" si="221"/>
        <v>600066</v>
      </c>
      <c r="C528" s="2" t="str">
        <f t="shared" si="222"/>
        <v>宇通客车</v>
      </c>
      <c r="D528" s="2" t="str">
        <f t="shared" ref="D528:D536" si="224">"担保品买入"</f>
        <v>担保品买入</v>
      </c>
      <c r="E528" s="2">
        <v>21.2</v>
      </c>
      <c r="F528" s="2">
        <v>500</v>
      </c>
      <c r="G528" s="2">
        <v>10600</v>
      </c>
      <c r="H528" s="2">
        <v>5</v>
      </c>
      <c r="I528" s="2">
        <v>4.27</v>
      </c>
      <c r="J528" s="2">
        <v>0</v>
      </c>
      <c r="K528" s="2">
        <v>0.21</v>
      </c>
      <c r="L528" s="2">
        <v>0</v>
      </c>
      <c r="M528" s="2">
        <v>0</v>
      </c>
      <c r="N528" s="2">
        <v>-10605.21</v>
      </c>
      <c r="O528" s="2">
        <v>49957.68</v>
      </c>
      <c r="P528" s="2">
        <v>1000</v>
      </c>
    </row>
    <row r="529" spans="1:16">
      <c r="A529" s="2" t="str">
        <f>"20151103"</f>
        <v>20151103</v>
      </c>
      <c r="B529" s="2" t="str">
        <f t="shared" si="221"/>
        <v>600066</v>
      </c>
      <c r="C529" s="2" t="str">
        <f t="shared" si="222"/>
        <v>宇通客车</v>
      </c>
      <c r="D529" s="2" t="str">
        <f t="shared" si="223"/>
        <v>担保品卖出</v>
      </c>
      <c r="E529" s="2">
        <v>21.37</v>
      </c>
      <c r="F529" s="2">
        <v>500</v>
      </c>
      <c r="G529" s="2">
        <v>10685</v>
      </c>
      <c r="H529" s="2">
        <v>5</v>
      </c>
      <c r="I529" s="2">
        <v>4.27</v>
      </c>
      <c r="J529" s="2">
        <v>10.69</v>
      </c>
      <c r="K529" s="2">
        <v>0.21</v>
      </c>
      <c r="L529" s="2">
        <v>0</v>
      </c>
      <c r="M529" s="2">
        <v>0</v>
      </c>
      <c r="N529" s="2">
        <v>10669.1</v>
      </c>
      <c r="O529" s="2">
        <v>60626.78</v>
      </c>
      <c r="P529" s="2">
        <v>500</v>
      </c>
    </row>
    <row r="530" spans="1:16">
      <c r="A530" s="2" t="str">
        <f>"20151109"</f>
        <v>20151109</v>
      </c>
      <c r="B530" s="2" t="str">
        <f t="shared" si="221"/>
        <v>600066</v>
      </c>
      <c r="C530" s="2" t="str">
        <f t="shared" si="222"/>
        <v>宇通客车</v>
      </c>
      <c r="D530" s="2" t="str">
        <f t="shared" si="223"/>
        <v>担保品卖出</v>
      </c>
      <c r="E530" s="2">
        <v>22.85</v>
      </c>
      <c r="F530" s="2">
        <v>400</v>
      </c>
      <c r="G530" s="2">
        <v>9140</v>
      </c>
      <c r="H530" s="2">
        <v>5</v>
      </c>
      <c r="I530" s="2">
        <v>4.37</v>
      </c>
      <c r="J530" s="2">
        <v>9.14</v>
      </c>
      <c r="K530" s="2">
        <v>0.18</v>
      </c>
      <c r="L530" s="2">
        <v>0</v>
      </c>
      <c r="M530" s="2">
        <v>0</v>
      </c>
      <c r="N530" s="2">
        <v>9125.68</v>
      </c>
      <c r="O530" s="2">
        <v>69752.46</v>
      </c>
      <c r="P530" s="2">
        <v>100</v>
      </c>
    </row>
    <row r="531" spans="1:16">
      <c r="A531" s="2" t="str">
        <f>"20151109"</f>
        <v>20151109</v>
      </c>
      <c r="B531" s="2" t="str">
        <f t="shared" si="221"/>
        <v>600066</v>
      </c>
      <c r="C531" s="2" t="str">
        <f t="shared" si="222"/>
        <v>宇通客车</v>
      </c>
      <c r="D531" s="2" t="str">
        <f t="shared" si="224"/>
        <v>担保品买入</v>
      </c>
      <c r="E531" s="2">
        <v>22.53</v>
      </c>
      <c r="F531" s="2">
        <v>400</v>
      </c>
      <c r="G531" s="2">
        <v>9012</v>
      </c>
      <c r="H531" s="2">
        <v>5</v>
      </c>
      <c r="I531" s="2">
        <v>4.38</v>
      </c>
      <c r="J531" s="2">
        <v>0</v>
      </c>
      <c r="K531" s="2">
        <v>0.18</v>
      </c>
      <c r="L531" s="2">
        <v>0</v>
      </c>
      <c r="M531" s="2">
        <v>0</v>
      </c>
      <c r="N531" s="2">
        <v>-9017.18</v>
      </c>
      <c r="O531" s="2">
        <v>60735.28</v>
      </c>
      <c r="P531" s="2">
        <v>500</v>
      </c>
    </row>
    <row r="532" spans="1:16">
      <c r="A532" s="2" t="str">
        <f>"20151113"</f>
        <v>20151113</v>
      </c>
      <c r="B532" s="2" t="str">
        <f t="shared" ref="B532:B538" si="225">"600575"</f>
        <v>600575</v>
      </c>
      <c r="C532" s="2" t="str">
        <f t="shared" ref="C532:C538" si="226">"皖江物流"</f>
        <v>皖江物流</v>
      </c>
      <c r="D532" s="2" t="str">
        <f t="shared" si="224"/>
        <v>担保品买入</v>
      </c>
      <c r="E532" s="2">
        <v>5.98</v>
      </c>
      <c r="F532" s="2">
        <v>2000</v>
      </c>
      <c r="G532" s="2">
        <v>11960</v>
      </c>
      <c r="H532" s="2">
        <v>5</v>
      </c>
      <c r="I532" s="2">
        <v>4.18</v>
      </c>
      <c r="J532" s="2">
        <v>0</v>
      </c>
      <c r="K532" s="2">
        <v>0.24</v>
      </c>
      <c r="L532" s="2">
        <v>0</v>
      </c>
      <c r="M532" s="2">
        <v>0</v>
      </c>
      <c r="N532" s="2">
        <v>-11965.24</v>
      </c>
      <c r="O532" s="2">
        <v>48770.04</v>
      </c>
      <c r="P532" s="2">
        <v>4000</v>
      </c>
    </row>
    <row r="533" spans="1:16">
      <c r="A533" s="2" t="str">
        <f>"20151127"</f>
        <v>20151127</v>
      </c>
      <c r="B533" s="2" t="str">
        <f>"600066"</f>
        <v>600066</v>
      </c>
      <c r="C533" s="2" t="str">
        <f>"宇通客车"</f>
        <v>宇通客车</v>
      </c>
      <c r="D533" s="2" t="str">
        <f t="shared" si="224"/>
        <v>担保品买入</v>
      </c>
      <c r="E533" s="2">
        <v>20.6</v>
      </c>
      <c r="F533" s="2">
        <v>500</v>
      </c>
      <c r="G533" s="2">
        <v>10300</v>
      </c>
      <c r="H533" s="2">
        <v>5</v>
      </c>
      <c r="I533" s="2">
        <v>4.29</v>
      </c>
      <c r="J533" s="2">
        <v>0</v>
      </c>
      <c r="K533" s="2">
        <v>0.21</v>
      </c>
      <c r="L533" s="2">
        <v>0</v>
      </c>
      <c r="M533" s="2">
        <v>0</v>
      </c>
      <c r="N533" s="2">
        <v>-10305.21</v>
      </c>
      <c r="O533" s="2">
        <v>38464.83</v>
      </c>
      <c r="P533" s="2">
        <v>1000</v>
      </c>
    </row>
    <row r="534" spans="1:16">
      <c r="A534" s="2" t="str">
        <f>"20151208"</f>
        <v>20151208</v>
      </c>
      <c r="B534" s="2" t="str">
        <f>"600066"</f>
        <v>600066</v>
      </c>
      <c r="C534" s="2" t="str">
        <f>"宇通客车"</f>
        <v>宇通客车</v>
      </c>
      <c r="D534" s="2" t="str">
        <f t="shared" si="224"/>
        <v>担保品买入</v>
      </c>
      <c r="E534" s="2">
        <v>20.88</v>
      </c>
      <c r="F534" s="2">
        <v>500</v>
      </c>
      <c r="G534" s="2">
        <v>10440</v>
      </c>
      <c r="H534" s="2">
        <v>5</v>
      </c>
      <c r="I534" s="2">
        <v>4.28</v>
      </c>
      <c r="J534" s="2">
        <v>0</v>
      </c>
      <c r="K534" s="2">
        <v>0.21</v>
      </c>
      <c r="L534" s="2">
        <v>0</v>
      </c>
      <c r="M534" s="2">
        <v>0</v>
      </c>
      <c r="N534" s="2">
        <v>-10445.21</v>
      </c>
      <c r="O534" s="2">
        <v>28019.62</v>
      </c>
      <c r="P534" s="2">
        <v>1500</v>
      </c>
    </row>
    <row r="535" spans="1:16">
      <c r="A535" s="2" t="str">
        <f>"20151209"</f>
        <v>20151209</v>
      </c>
      <c r="B535" s="2" t="str">
        <f>"000667"</f>
        <v>000667</v>
      </c>
      <c r="C535" s="2" t="str">
        <f>"美好集团"</f>
        <v>美好集团</v>
      </c>
      <c r="D535" s="2" t="str">
        <f t="shared" si="224"/>
        <v>担保品买入</v>
      </c>
      <c r="E535" s="2">
        <v>4.97</v>
      </c>
      <c r="F535" s="2">
        <v>1000</v>
      </c>
      <c r="G535" s="2">
        <v>4970</v>
      </c>
      <c r="H535" s="2">
        <v>5</v>
      </c>
      <c r="I535" s="2">
        <v>4.56</v>
      </c>
      <c r="J535" s="2">
        <v>0</v>
      </c>
      <c r="K535" s="2">
        <v>0</v>
      </c>
      <c r="L535" s="2">
        <v>0</v>
      </c>
      <c r="M535" s="2">
        <v>0</v>
      </c>
      <c r="N535" s="2">
        <v>-4975</v>
      </c>
      <c r="O535" s="2">
        <v>23044.62</v>
      </c>
      <c r="P535" s="2">
        <v>1000</v>
      </c>
    </row>
    <row r="536" spans="1:16">
      <c r="A536" s="2" t="str">
        <f t="shared" ref="A536:A538" si="227">"20151210"</f>
        <v>20151210</v>
      </c>
      <c r="B536" s="2" t="str">
        <f t="shared" si="225"/>
        <v>600575</v>
      </c>
      <c r="C536" s="2" t="str">
        <f t="shared" si="226"/>
        <v>皖江物流</v>
      </c>
      <c r="D536" s="2" t="str">
        <f t="shared" si="224"/>
        <v>担保品买入</v>
      </c>
      <c r="E536" s="2">
        <v>6.59</v>
      </c>
      <c r="F536" s="2">
        <v>2000</v>
      </c>
      <c r="G536" s="2">
        <v>13180</v>
      </c>
      <c r="H536" s="2">
        <v>5</v>
      </c>
      <c r="I536" s="2">
        <v>4.1</v>
      </c>
      <c r="J536" s="2">
        <v>0</v>
      </c>
      <c r="K536" s="2">
        <v>0.26</v>
      </c>
      <c r="L536" s="2">
        <v>0</v>
      </c>
      <c r="M536" s="2">
        <v>0</v>
      </c>
      <c r="N536" s="2">
        <v>-13185.26</v>
      </c>
      <c r="O536" s="2">
        <v>9859.36</v>
      </c>
      <c r="P536" s="2">
        <v>6000</v>
      </c>
    </row>
    <row r="537" spans="1:16">
      <c r="A537" s="2" t="str">
        <f t="shared" si="227"/>
        <v>20151210</v>
      </c>
      <c r="B537" s="2" t="str">
        <f t="shared" si="225"/>
        <v>600575</v>
      </c>
      <c r="C537" s="2" t="str">
        <f t="shared" si="226"/>
        <v>皖江物流</v>
      </c>
      <c r="D537" s="2" t="str">
        <f>"担保品卖出"</f>
        <v>担保品卖出</v>
      </c>
      <c r="E537" s="2">
        <v>6.67</v>
      </c>
      <c r="F537" s="2">
        <v>2000</v>
      </c>
      <c r="G537" s="2">
        <v>13340</v>
      </c>
      <c r="H537" s="2">
        <v>5</v>
      </c>
      <c r="I537" s="2">
        <v>4.09</v>
      </c>
      <c r="J537" s="2">
        <v>13.34</v>
      </c>
      <c r="K537" s="2">
        <v>0.27</v>
      </c>
      <c r="L537" s="2">
        <v>0</v>
      </c>
      <c r="M537" s="2">
        <v>0</v>
      </c>
      <c r="N537" s="2">
        <v>13321.39</v>
      </c>
      <c r="O537" s="2">
        <v>23180.75</v>
      </c>
      <c r="P537" s="2">
        <v>4000</v>
      </c>
    </row>
    <row r="538" spans="1:16">
      <c r="A538" s="2" t="str">
        <f t="shared" si="227"/>
        <v>20151210</v>
      </c>
      <c r="B538" s="2" t="str">
        <f t="shared" si="225"/>
        <v>600575</v>
      </c>
      <c r="C538" s="2" t="str">
        <f t="shared" si="226"/>
        <v>皖江物流</v>
      </c>
      <c r="D538" s="2" t="str">
        <f>"担保品买入"</f>
        <v>担保品买入</v>
      </c>
      <c r="E538" s="2">
        <v>6.58</v>
      </c>
      <c r="F538" s="2">
        <v>2000</v>
      </c>
      <c r="G538" s="2">
        <v>13160</v>
      </c>
      <c r="H538" s="2">
        <v>5</v>
      </c>
      <c r="I538" s="2">
        <v>4.1</v>
      </c>
      <c r="J538" s="2">
        <v>0</v>
      </c>
      <c r="K538" s="2">
        <v>0.26</v>
      </c>
      <c r="L538" s="2">
        <v>0</v>
      </c>
      <c r="M538" s="2">
        <v>0</v>
      </c>
      <c r="N538" s="2">
        <v>-13165.26</v>
      </c>
      <c r="O538" s="2">
        <v>10015.49</v>
      </c>
      <c r="P538" s="2">
        <v>6000</v>
      </c>
    </row>
    <row r="539" spans="1:16">
      <c r="A539" s="2" t="str">
        <f>"20151211"</f>
        <v>20151211</v>
      </c>
      <c r="B539" s="2" t="str">
        <f>"601607"</f>
        <v>601607</v>
      </c>
      <c r="C539" s="2" t="str">
        <f>"上海医药"</f>
        <v>上海医药</v>
      </c>
      <c r="D539" s="2" t="str">
        <f>"融资买入"</f>
        <v>融资买入</v>
      </c>
      <c r="E539" s="2">
        <v>18.38</v>
      </c>
      <c r="F539" s="2">
        <v>1000</v>
      </c>
      <c r="G539" s="2">
        <v>18380</v>
      </c>
      <c r="H539" s="2">
        <v>20.22</v>
      </c>
      <c r="I539" s="2">
        <v>18.96</v>
      </c>
      <c r="J539" s="2">
        <v>0</v>
      </c>
      <c r="K539" s="2">
        <v>0.37</v>
      </c>
      <c r="L539" s="2">
        <v>0</v>
      </c>
      <c r="M539" s="2">
        <v>0</v>
      </c>
      <c r="N539" s="2">
        <v>-18400.59</v>
      </c>
      <c r="O539" s="2">
        <v>-8385.1</v>
      </c>
      <c r="P539" s="2">
        <v>1000</v>
      </c>
    </row>
    <row r="540" spans="1:16">
      <c r="A540" s="2" t="str">
        <f>"20151211"</f>
        <v>20151211</v>
      </c>
      <c r="B540" s="2"/>
      <c r="C540" s="2"/>
      <c r="D540" s="2" t="str">
        <f>"融资借入"</f>
        <v>融资借入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18400.59</v>
      </c>
      <c r="O540" s="2">
        <v>10015.49</v>
      </c>
      <c r="P540" s="2">
        <v>0</v>
      </c>
    </row>
    <row r="541" spans="1:16">
      <c r="A541" s="2" t="str">
        <f>"20151215"</f>
        <v>20151215</v>
      </c>
      <c r="B541" s="2" t="str">
        <f>"600575"</f>
        <v>600575</v>
      </c>
      <c r="C541" s="2" t="str">
        <f>"皖江物流"</f>
        <v>皖江物流</v>
      </c>
      <c r="D541" s="2" t="str">
        <f>"担保品卖出"</f>
        <v>担保品卖出</v>
      </c>
      <c r="E541" s="2">
        <v>6.72</v>
      </c>
      <c r="F541" s="2">
        <v>2000</v>
      </c>
      <c r="G541" s="2">
        <v>13440</v>
      </c>
      <c r="H541" s="2">
        <v>5</v>
      </c>
      <c r="I541" s="2">
        <v>4.08</v>
      </c>
      <c r="J541" s="2">
        <v>13.44</v>
      </c>
      <c r="K541" s="2">
        <v>0.27</v>
      </c>
      <c r="L541" s="2">
        <v>0</v>
      </c>
      <c r="M541" s="2">
        <v>0</v>
      </c>
      <c r="N541" s="2">
        <v>13421.29</v>
      </c>
      <c r="O541" s="2">
        <v>23436.78</v>
      </c>
      <c r="P541" s="2">
        <v>4000</v>
      </c>
    </row>
    <row r="542" spans="1:16">
      <c r="A542" s="2" t="str">
        <f>"20151215"</f>
        <v>20151215</v>
      </c>
      <c r="B542" s="2" t="str">
        <f>"000667"</f>
        <v>000667</v>
      </c>
      <c r="C542" s="2" t="str">
        <f>"美好集团"</f>
        <v>美好集团</v>
      </c>
      <c r="D542" s="2" t="str">
        <f>"担保品买入"</f>
        <v>担保品买入</v>
      </c>
      <c r="E542" s="2">
        <v>4.93</v>
      </c>
      <c r="F542" s="2">
        <v>2000</v>
      </c>
      <c r="G542" s="2">
        <v>9860</v>
      </c>
      <c r="H542" s="2">
        <v>5</v>
      </c>
      <c r="I542" s="2">
        <v>4.12</v>
      </c>
      <c r="J542" s="2">
        <v>0</v>
      </c>
      <c r="K542" s="2">
        <v>0</v>
      </c>
      <c r="L542" s="2">
        <v>0</v>
      </c>
      <c r="M542" s="2">
        <v>0</v>
      </c>
      <c r="N542" s="2">
        <v>-9865</v>
      </c>
      <c r="O542" s="2">
        <v>13571.78</v>
      </c>
      <c r="P542" s="2">
        <v>3000</v>
      </c>
    </row>
    <row r="543" spans="1:16">
      <c r="A543" s="2" t="str">
        <f>"20151216"</f>
        <v>20151216</v>
      </c>
      <c r="B543" s="2"/>
      <c r="C543" s="2"/>
      <c r="D543" s="2" t="str">
        <f>"银行转证券"</f>
        <v>银行转证券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30000</v>
      </c>
      <c r="O543" s="2">
        <v>43571.78</v>
      </c>
      <c r="P543" s="2">
        <v>0</v>
      </c>
    </row>
    <row r="544" spans="1:16">
      <c r="A544" s="2" t="str">
        <f>"20151216"</f>
        <v>20151216</v>
      </c>
      <c r="B544" s="2" t="str">
        <f>"601607"</f>
        <v>601607</v>
      </c>
      <c r="C544" s="2" t="str">
        <f>"上海医药"</f>
        <v>上海医药</v>
      </c>
      <c r="D544" s="2" t="str">
        <f>"担保品买入"</f>
        <v>担保品买入</v>
      </c>
      <c r="E544" s="2">
        <v>18.85</v>
      </c>
      <c r="F544" s="2">
        <v>1000</v>
      </c>
      <c r="G544" s="2">
        <v>18850</v>
      </c>
      <c r="H544" s="2">
        <v>5.84</v>
      </c>
      <c r="I544" s="2">
        <v>4.54</v>
      </c>
      <c r="J544" s="2">
        <v>0</v>
      </c>
      <c r="K544" s="2">
        <v>0.38</v>
      </c>
      <c r="L544" s="2">
        <v>0</v>
      </c>
      <c r="M544" s="2">
        <v>0</v>
      </c>
      <c r="N544" s="2">
        <v>-18856.22</v>
      </c>
      <c r="O544" s="2">
        <v>24715.56</v>
      </c>
      <c r="P544" s="2">
        <v>2000</v>
      </c>
    </row>
    <row r="545" spans="1:16">
      <c r="A545" s="2" t="str">
        <f t="shared" ref="A545:A555" si="228">"20151221"</f>
        <v>20151221</v>
      </c>
      <c r="B545" s="2"/>
      <c r="C545" s="2"/>
      <c r="D545" s="2" t="str">
        <f>"银行转证券"</f>
        <v>银行转证券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30000</v>
      </c>
      <c r="O545" s="2">
        <v>54715.56</v>
      </c>
      <c r="P545" s="2">
        <v>0</v>
      </c>
    </row>
    <row r="546" spans="1:16">
      <c r="A546" s="2" t="str">
        <f t="shared" si="228"/>
        <v>20151221</v>
      </c>
      <c r="B546" s="2"/>
      <c r="C546" s="2"/>
      <c r="D546" s="2" t="str">
        <f>"利息归本"</f>
        <v>利息归本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34.76</v>
      </c>
      <c r="O546" s="2">
        <v>54750.32</v>
      </c>
      <c r="P546" s="2">
        <v>0</v>
      </c>
    </row>
    <row r="547" spans="1:16">
      <c r="A547" s="2" t="str">
        <f t="shared" si="228"/>
        <v>20151221</v>
      </c>
      <c r="B547" s="2" t="str">
        <f>"601607"</f>
        <v>601607</v>
      </c>
      <c r="C547" s="2" t="str">
        <f>"上海医药"</f>
        <v>上海医药</v>
      </c>
      <c r="D547" s="2" t="str">
        <f t="shared" ref="D547:D552" si="229">"担保品卖出"</f>
        <v>担保品卖出</v>
      </c>
      <c r="E547" s="2">
        <v>19.62</v>
      </c>
      <c r="F547" s="2">
        <v>500</v>
      </c>
      <c r="G547" s="2">
        <v>9810</v>
      </c>
      <c r="H547" s="2">
        <v>5</v>
      </c>
      <c r="I547" s="2">
        <v>4.32</v>
      </c>
      <c r="J547" s="2">
        <v>9.81</v>
      </c>
      <c r="K547" s="2">
        <v>0.2</v>
      </c>
      <c r="L547" s="2">
        <v>0</v>
      </c>
      <c r="M547" s="2">
        <v>0</v>
      </c>
      <c r="N547" s="2">
        <v>9794.99</v>
      </c>
      <c r="O547" s="2">
        <v>64545.31</v>
      </c>
      <c r="P547" s="2">
        <v>1500</v>
      </c>
    </row>
    <row r="548" spans="1:16">
      <c r="A548" s="2" t="str">
        <f t="shared" si="228"/>
        <v>20151221</v>
      </c>
      <c r="B548" s="2" t="str">
        <f>"600066"</f>
        <v>600066</v>
      </c>
      <c r="C548" s="2" t="str">
        <f>"宇通客车"</f>
        <v>宇通客车</v>
      </c>
      <c r="D548" s="2" t="str">
        <f t="shared" si="229"/>
        <v>担保品卖出</v>
      </c>
      <c r="E548" s="2">
        <v>22.82</v>
      </c>
      <c r="F548" s="2">
        <v>500</v>
      </c>
      <c r="G548" s="2">
        <v>11410</v>
      </c>
      <c r="H548" s="2">
        <v>5</v>
      </c>
      <c r="I548" s="2">
        <v>4.21</v>
      </c>
      <c r="J548" s="2">
        <v>11.41</v>
      </c>
      <c r="K548" s="2">
        <v>0.23</v>
      </c>
      <c r="L548" s="2">
        <v>0</v>
      </c>
      <c r="M548" s="2">
        <v>0</v>
      </c>
      <c r="N548" s="2">
        <v>11393.36</v>
      </c>
      <c r="O548" s="2">
        <v>75938.67</v>
      </c>
      <c r="P548" s="2">
        <v>1000</v>
      </c>
    </row>
    <row r="549" spans="1:16">
      <c r="A549" s="2" t="str">
        <f t="shared" si="228"/>
        <v>20151221</v>
      </c>
      <c r="B549" s="2" t="str">
        <f t="shared" ref="B549:B551" si="230">"600886"</f>
        <v>600886</v>
      </c>
      <c r="C549" s="2" t="str">
        <f t="shared" ref="C549:C551" si="231">"国投电力"</f>
        <v>国投电力</v>
      </c>
      <c r="D549" s="2" t="str">
        <f t="shared" ref="D549:D551" si="232">"担保品买入"</f>
        <v>担保品买入</v>
      </c>
      <c r="E549" s="2">
        <v>8.81</v>
      </c>
      <c r="F549" s="2">
        <v>1000</v>
      </c>
      <c r="G549" s="2">
        <v>8810</v>
      </c>
      <c r="H549" s="2">
        <v>5</v>
      </c>
      <c r="I549" s="2">
        <v>4.39</v>
      </c>
      <c r="J549" s="2">
        <v>0</v>
      </c>
      <c r="K549" s="2">
        <v>0.18</v>
      </c>
      <c r="L549" s="2">
        <v>0</v>
      </c>
      <c r="M549" s="2">
        <v>0</v>
      </c>
      <c r="N549" s="2">
        <v>-8815.18</v>
      </c>
      <c r="O549" s="2">
        <v>67123.49</v>
      </c>
      <c r="P549" s="2">
        <v>1000</v>
      </c>
    </row>
    <row r="550" spans="1:16">
      <c r="A550" s="2" t="str">
        <f t="shared" si="228"/>
        <v>20151221</v>
      </c>
      <c r="B550" s="2" t="str">
        <f t="shared" si="230"/>
        <v>600886</v>
      </c>
      <c r="C550" s="2" t="str">
        <f t="shared" si="231"/>
        <v>国投电力</v>
      </c>
      <c r="D550" s="2" t="str">
        <f t="shared" si="232"/>
        <v>担保品买入</v>
      </c>
      <c r="E550" s="2">
        <v>8.87</v>
      </c>
      <c r="F550" s="2">
        <v>1000</v>
      </c>
      <c r="G550" s="2">
        <v>8870</v>
      </c>
      <c r="H550" s="2">
        <v>5</v>
      </c>
      <c r="I550" s="2">
        <v>4.39</v>
      </c>
      <c r="J550" s="2">
        <v>0</v>
      </c>
      <c r="K550" s="2">
        <v>0.18</v>
      </c>
      <c r="L550" s="2">
        <v>0</v>
      </c>
      <c r="M550" s="2">
        <v>0</v>
      </c>
      <c r="N550" s="2">
        <v>-8875.18</v>
      </c>
      <c r="O550" s="2">
        <v>58248.31</v>
      </c>
      <c r="P550" s="2">
        <v>2000</v>
      </c>
    </row>
    <row r="551" spans="1:16">
      <c r="A551" s="2" t="str">
        <f t="shared" si="228"/>
        <v>20151221</v>
      </c>
      <c r="B551" s="2" t="str">
        <f t="shared" si="230"/>
        <v>600886</v>
      </c>
      <c r="C551" s="2" t="str">
        <f t="shared" si="231"/>
        <v>国投电力</v>
      </c>
      <c r="D551" s="2" t="str">
        <f t="shared" si="232"/>
        <v>担保品买入</v>
      </c>
      <c r="E551" s="2">
        <v>8.99</v>
      </c>
      <c r="F551" s="2">
        <v>2000</v>
      </c>
      <c r="G551" s="2">
        <v>17980</v>
      </c>
      <c r="H551" s="2">
        <v>5.57</v>
      </c>
      <c r="I551" s="2">
        <v>4.33</v>
      </c>
      <c r="J551" s="2">
        <v>0</v>
      </c>
      <c r="K551" s="2">
        <v>0.36</v>
      </c>
      <c r="L551" s="2">
        <v>0</v>
      </c>
      <c r="M551" s="2">
        <v>0</v>
      </c>
      <c r="N551" s="2">
        <v>-17985.93</v>
      </c>
      <c r="O551" s="2">
        <v>40262.38</v>
      </c>
      <c r="P551" s="2">
        <v>4000</v>
      </c>
    </row>
    <row r="552" spans="1:16">
      <c r="A552" s="2" t="str">
        <f t="shared" si="228"/>
        <v>20151221</v>
      </c>
      <c r="B552" s="2" t="str">
        <f>"601607"</f>
        <v>601607</v>
      </c>
      <c r="C552" s="2" t="str">
        <f>"上海医药"</f>
        <v>上海医药</v>
      </c>
      <c r="D552" s="2" t="str">
        <f t="shared" si="229"/>
        <v>担保品卖出</v>
      </c>
      <c r="E552" s="2">
        <v>20.11</v>
      </c>
      <c r="F552" s="2">
        <v>500</v>
      </c>
      <c r="G552" s="2">
        <v>10055</v>
      </c>
      <c r="H552" s="2">
        <v>5</v>
      </c>
      <c r="I552" s="2">
        <v>4.31</v>
      </c>
      <c r="J552" s="2">
        <v>10.06</v>
      </c>
      <c r="K552" s="2">
        <v>0.2</v>
      </c>
      <c r="L552" s="2">
        <v>0</v>
      </c>
      <c r="M552" s="2">
        <v>0</v>
      </c>
      <c r="N552" s="2">
        <v>10039.74</v>
      </c>
      <c r="O552" s="2">
        <v>50302.12</v>
      </c>
      <c r="P552" s="2">
        <v>1000</v>
      </c>
    </row>
    <row r="553" spans="1:16">
      <c r="A553" s="2" t="str">
        <f t="shared" si="228"/>
        <v>20151221</v>
      </c>
      <c r="B553" s="2"/>
      <c r="C553" s="2"/>
      <c r="D553" s="2" t="str">
        <f>"偿还融资利息"</f>
        <v>偿还融资利息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-42.7</v>
      </c>
      <c r="O553" s="2">
        <v>50259.42</v>
      </c>
      <c r="P553" s="2">
        <v>0</v>
      </c>
    </row>
    <row r="554" spans="1:16">
      <c r="A554" s="2" t="str">
        <f t="shared" si="228"/>
        <v>20151221</v>
      </c>
      <c r="B554" s="2"/>
      <c r="C554" s="2"/>
      <c r="D554" s="2" t="str">
        <f>"偿还融资负债本金"</f>
        <v>偿还融资负债本金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-9770.56</v>
      </c>
      <c r="O554" s="2">
        <v>40488.86</v>
      </c>
      <c r="P554" s="2">
        <v>0</v>
      </c>
    </row>
    <row r="555" spans="1:16">
      <c r="A555" s="2" t="str">
        <f t="shared" si="228"/>
        <v>20151221</v>
      </c>
      <c r="B555" s="2"/>
      <c r="C555" s="2"/>
      <c r="D555" s="2" t="str">
        <f>"偿还融资负债本金"</f>
        <v>偿还融资负债本金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-8630.03</v>
      </c>
      <c r="O555" s="2">
        <v>31858.83</v>
      </c>
      <c r="P555" s="2">
        <v>0</v>
      </c>
    </row>
    <row r="556" spans="1:16">
      <c r="A556" s="2" t="str">
        <f>"20151222"</f>
        <v>20151222</v>
      </c>
      <c r="B556" s="2" t="str">
        <f>"601607"</f>
        <v>601607</v>
      </c>
      <c r="C556" s="2" t="str">
        <f>"上海医药"</f>
        <v>上海医药</v>
      </c>
      <c r="D556" s="2" t="str">
        <f t="shared" ref="D556:D558" si="233">"担保品卖出"</f>
        <v>担保品卖出</v>
      </c>
      <c r="E556" s="2">
        <v>19.87</v>
      </c>
      <c r="F556" s="2">
        <v>1000</v>
      </c>
      <c r="G556" s="2">
        <v>19870</v>
      </c>
      <c r="H556" s="2">
        <v>6.16</v>
      </c>
      <c r="I556" s="2">
        <v>4.79</v>
      </c>
      <c r="J556" s="2">
        <v>19.87</v>
      </c>
      <c r="K556" s="2">
        <v>0.4</v>
      </c>
      <c r="L556" s="2">
        <v>0</v>
      </c>
      <c r="M556" s="2">
        <v>0</v>
      </c>
      <c r="N556" s="2">
        <v>19843.57</v>
      </c>
      <c r="O556" s="2">
        <v>51702.4</v>
      </c>
      <c r="P556" s="2">
        <v>0</v>
      </c>
    </row>
    <row r="557" spans="1:16">
      <c r="A557" s="2" t="str">
        <f>"20151222"</f>
        <v>20151222</v>
      </c>
      <c r="B557" s="2" t="str">
        <f>"600066"</f>
        <v>600066</v>
      </c>
      <c r="C557" s="2" t="str">
        <f>"宇通客车"</f>
        <v>宇通客车</v>
      </c>
      <c r="D557" s="2" t="str">
        <f t="shared" si="233"/>
        <v>担保品卖出</v>
      </c>
      <c r="E557" s="2">
        <v>22.77</v>
      </c>
      <c r="F557" s="2">
        <v>500</v>
      </c>
      <c r="G557" s="2">
        <v>11385</v>
      </c>
      <c r="H557" s="2">
        <v>5</v>
      </c>
      <c r="I557" s="2">
        <v>4.21</v>
      </c>
      <c r="J557" s="2">
        <v>11.39</v>
      </c>
      <c r="K557" s="2">
        <v>0.23</v>
      </c>
      <c r="L557" s="2">
        <v>0</v>
      </c>
      <c r="M557" s="2">
        <v>0</v>
      </c>
      <c r="N557" s="2">
        <v>11368.38</v>
      </c>
      <c r="O557" s="2">
        <v>63070.78</v>
      </c>
      <c r="P557" s="2">
        <v>500</v>
      </c>
    </row>
    <row r="558" spans="1:16">
      <c r="A558" s="2" t="str">
        <f t="shared" ref="A558:A561" si="234">"20151223"</f>
        <v>20151223</v>
      </c>
      <c r="B558" s="2" t="str">
        <f>"600575"</f>
        <v>600575</v>
      </c>
      <c r="C558" s="2" t="str">
        <f>"皖江物流"</f>
        <v>皖江物流</v>
      </c>
      <c r="D558" s="2" t="str">
        <f t="shared" si="233"/>
        <v>担保品卖出</v>
      </c>
      <c r="E558" s="2">
        <v>6.74</v>
      </c>
      <c r="F558" s="2">
        <v>2000</v>
      </c>
      <c r="G558" s="2">
        <v>13480</v>
      </c>
      <c r="H558" s="2">
        <v>5</v>
      </c>
      <c r="I558" s="2">
        <v>4.07</v>
      </c>
      <c r="J558" s="2">
        <v>13.48</v>
      </c>
      <c r="K558" s="2">
        <v>0.27</v>
      </c>
      <c r="L558" s="2">
        <v>0</v>
      </c>
      <c r="M558" s="2">
        <v>0</v>
      </c>
      <c r="N558" s="2">
        <v>13461.25</v>
      </c>
      <c r="O558" s="2">
        <v>76532.03</v>
      </c>
      <c r="P558" s="2">
        <v>2000</v>
      </c>
    </row>
    <row r="559" spans="1:16">
      <c r="A559" s="2" t="str">
        <f t="shared" si="234"/>
        <v>20151223</v>
      </c>
      <c r="B559" s="2" t="str">
        <f>"600066"</f>
        <v>600066</v>
      </c>
      <c r="C559" s="2" t="str">
        <f>"宇通客车"</f>
        <v>宇通客车</v>
      </c>
      <c r="D559" s="2" t="str">
        <f t="shared" ref="D559:D562" si="235">"担保品买入"</f>
        <v>担保品买入</v>
      </c>
      <c r="E559" s="2">
        <v>22.578</v>
      </c>
      <c r="F559" s="2">
        <v>500</v>
      </c>
      <c r="G559" s="2">
        <v>11289</v>
      </c>
      <c r="H559" s="2">
        <v>5</v>
      </c>
      <c r="I559" s="2">
        <v>4.22</v>
      </c>
      <c r="J559" s="2">
        <v>0</v>
      </c>
      <c r="K559" s="2">
        <v>0.23</v>
      </c>
      <c r="L559" s="2">
        <v>0</v>
      </c>
      <c r="M559" s="2">
        <v>0</v>
      </c>
      <c r="N559" s="2">
        <v>-11294.23</v>
      </c>
      <c r="O559" s="2">
        <v>65237.8</v>
      </c>
      <c r="P559" s="2">
        <v>1000</v>
      </c>
    </row>
    <row r="560" spans="1:16">
      <c r="A560" s="2" t="str">
        <f t="shared" si="234"/>
        <v>20151223</v>
      </c>
      <c r="B560" s="2" t="str">
        <f t="shared" ref="B560:B563" si="236">"600886"</f>
        <v>600886</v>
      </c>
      <c r="C560" s="2" t="str">
        <f t="shared" ref="C560:C563" si="237">"国投电力"</f>
        <v>国投电力</v>
      </c>
      <c r="D560" s="2" t="str">
        <f t="shared" si="235"/>
        <v>担保品买入</v>
      </c>
      <c r="E560" s="2">
        <v>8.91</v>
      </c>
      <c r="F560" s="2">
        <v>2000</v>
      </c>
      <c r="G560" s="2">
        <v>17820</v>
      </c>
      <c r="H560" s="2">
        <v>5.52</v>
      </c>
      <c r="I560" s="2">
        <v>4.29</v>
      </c>
      <c r="J560" s="2">
        <v>0</v>
      </c>
      <c r="K560" s="2">
        <v>0.36</v>
      </c>
      <c r="L560" s="2">
        <v>0</v>
      </c>
      <c r="M560" s="2">
        <v>0</v>
      </c>
      <c r="N560" s="2">
        <v>-17825.88</v>
      </c>
      <c r="O560" s="2">
        <v>47411.92</v>
      </c>
      <c r="P560" s="2">
        <v>6000</v>
      </c>
    </row>
    <row r="561" spans="1:16">
      <c r="A561" s="2" t="str">
        <f t="shared" si="234"/>
        <v>20151223</v>
      </c>
      <c r="B561" s="2" t="str">
        <f>"600575"</f>
        <v>600575</v>
      </c>
      <c r="C561" s="2" t="str">
        <f>"皖江物流"</f>
        <v>皖江物流</v>
      </c>
      <c r="D561" s="2" t="str">
        <f t="shared" si="235"/>
        <v>担保品买入</v>
      </c>
      <c r="E561" s="2">
        <v>6.64</v>
      </c>
      <c r="F561" s="2">
        <v>2000</v>
      </c>
      <c r="G561" s="2">
        <v>13280</v>
      </c>
      <c r="H561" s="2">
        <v>5</v>
      </c>
      <c r="I561" s="2">
        <v>4.08</v>
      </c>
      <c r="J561" s="2">
        <v>0</v>
      </c>
      <c r="K561" s="2">
        <v>0.27</v>
      </c>
      <c r="L561" s="2">
        <v>0</v>
      </c>
      <c r="M561" s="2">
        <v>0</v>
      </c>
      <c r="N561" s="2">
        <v>-13285.27</v>
      </c>
      <c r="O561" s="2">
        <v>34126.65</v>
      </c>
      <c r="P561" s="2">
        <v>4000</v>
      </c>
    </row>
    <row r="562" spans="1:16">
      <c r="A562" s="2" t="str">
        <f t="shared" ref="A562:A564" si="238">"20151224"</f>
        <v>20151224</v>
      </c>
      <c r="B562" s="2" t="str">
        <f t="shared" si="236"/>
        <v>600886</v>
      </c>
      <c r="C562" s="2" t="str">
        <f t="shared" si="237"/>
        <v>国投电力</v>
      </c>
      <c r="D562" s="2" t="str">
        <f t="shared" si="235"/>
        <v>担保品买入</v>
      </c>
      <c r="E562" s="2">
        <v>8.85</v>
      </c>
      <c r="F562" s="2">
        <v>2000</v>
      </c>
      <c r="G562" s="2">
        <v>17700</v>
      </c>
      <c r="H562" s="2">
        <v>5.49</v>
      </c>
      <c r="I562" s="2">
        <v>4.27</v>
      </c>
      <c r="J562" s="2">
        <v>0</v>
      </c>
      <c r="K562" s="2">
        <v>0.35</v>
      </c>
      <c r="L562" s="2">
        <v>0</v>
      </c>
      <c r="M562" s="2">
        <v>0</v>
      </c>
      <c r="N562" s="2">
        <v>-17705.84</v>
      </c>
      <c r="O562" s="2">
        <v>16420.81</v>
      </c>
      <c r="P562" s="2">
        <v>8000</v>
      </c>
    </row>
    <row r="563" spans="1:16">
      <c r="A563" s="2" t="str">
        <f t="shared" si="238"/>
        <v>20151224</v>
      </c>
      <c r="B563" s="2" t="str">
        <f t="shared" si="236"/>
        <v>600886</v>
      </c>
      <c r="C563" s="2" t="str">
        <f t="shared" si="237"/>
        <v>国投电力</v>
      </c>
      <c r="D563" s="2" t="str">
        <f>"融资买入"</f>
        <v>融资买入</v>
      </c>
      <c r="E563" s="2">
        <v>8.72</v>
      </c>
      <c r="F563" s="2">
        <v>2000</v>
      </c>
      <c r="G563" s="2">
        <v>17440</v>
      </c>
      <c r="H563" s="2">
        <v>19.18</v>
      </c>
      <c r="I563" s="2">
        <v>17.98</v>
      </c>
      <c r="J563" s="2">
        <v>0</v>
      </c>
      <c r="K563" s="2">
        <v>0.35</v>
      </c>
      <c r="L563" s="2">
        <v>0</v>
      </c>
      <c r="M563" s="2">
        <v>0</v>
      </c>
      <c r="N563" s="2">
        <v>-17459.53</v>
      </c>
      <c r="O563" s="2">
        <v>-1038.72</v>
      </c>
      <c r="P563" s="2">
        <v>10000</v>
      </c>
    </row>
    <row r="564" spans="1:16">
      <c r="A564" s="2" t="str">
        <f t="shared" si="238"/>
        <v>20151224</v>
      </c>
      <c r="B564" s="2"/>
      <c r="C564" s="2"/>
      <c r="D564" s="2" t="str">
        <f>"融资借入"</f>
        <v>融资借入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17459.53</v>
      </c>
      <c r="O564" s="2">
        <v>16420.81</v>
      </c>
      <c r="P564" s="2">
        <v>0</v>
      </c>
    </row>
    <row r="565" spans="1:16">
      <c r="A565" s="2" t="str">
        <f t="shared" ref="A565:A567" si="239">"20151228"</f>
        <v>20151228</v>
      </c>
      <c r="B565" s="2" t="str">
        <f>"002154"</f>
        <v>002154</v>
      </c>
      <c r="C565" s="2" t="str">
        <f>"报 喜 鸟"</f>
        <v>报 喜 鸟</v>
      </c>
      <c r="D565" s="2" t="str">
        <f>"担保品买入"</f>
        <v>担保品买入</v>
      </c>
      <c r="E565" s="2">
        <v>7.8</v>
      </c>
      <c r="F565" s="2">
        <v>1000</v>
      </c>
      <c r="G565" s="2">
        <v>7800</v>
      </c>
      <c r="H565" s="2">
        <v>5</v>
      </c>
      <c r="I565" s="2">
        <v>4.31</v>
      </c>
      <c r="J565" s="2">
        <v>0</v>
      </c>
      <c r="K565" s="2">
        <v>0</v>
      </c>
      <c r="L565" s="2">
        <v>0</v>
      </c>
      <c r="M565" s="2">
        <v>0</v>
      </c>
      <c r="N565" s="2">
        <v>-7805</v>
      </c>
      <c r="O565" s="2">
        <v>8615.81</v>
      </c>
      <c r="P565" s="2">
        <v>1000</v>
      </c>
    </row>
    <row r="566" spans="1:16">
      <c r="A566" s="2" t="str">
        <f t="shared" si="239"/>
        <v>20151228</v>
      </c>
      <c r="B566" s="2" t="str">
        <f>"000667"</f>
        <v>000667</v>
      </c>
      <c r="C566" s="2" t="str">
        <f>"美好集团"</f>
        <v>美好集团</v>
      </c>
      <c r="D566" s="2" t="str">
        <f>"融资买入"</f>
        <v>融资买入</v>
      </c>
      <c r="E566" s="2">
        <v>5.04</v>
      </c>
      <c r="F566" s="2">
        <v>3000</v>
      </c>
      <c r="G566" s="2">
        <v>15120</v>
      </c>
      <c r="H566" s="2">
        <v>16.63</v>
      </c>
      <c r="I566" s="2">
        <v>15.29</v>
      </c>
      <c r="J566" s="2">
        <v>0</v>
      </c>
      <c r="K566" s="2">
        <v>0</v>
      </c>
      <c r="L566" s="2">
        <v>0</v>
      </c>
      <c r="M566" s="2">
        <v>0</v>
      </c>
      <c r="N566" s="2">
        <v>-15136.63</v>
      </c>
      <c r="O566" s="2">
        <v>-6520.82</v>
      </c>
      <c r="P566" s="2">
        <v>6000</v>
      </c>
    </row>
    <row r="567" spans="1:16">
      <c r="A567" s="2" t="str">
        <f t="shared" si="239"/>
        <v>20151228</v>
      </c>
      <c r="B567" s="2"/>
      <c r="C567" s="2"/>
      <c r="D567" s="2" t="str">
        <f>"融资借入"</f>
        <v>融资借入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15136.63</v>
      </c>
      <c r="O567" s="2">
        <v>8615.81</v>
      </c>
      <c r="P567" s="2">
        <v>0</v>
      </c>
    </row>
    <row r="568" spans="1:16">
      <c r="A568" s="2" t="str">
        <f t="shared" ref="A568:A573" si="240">"20151229"</f>
        <v>20151229</v>
      </c>
      <c r="B568" s="2"/>
      <c r="C568" s="2"/>
      <c r="D568" s="2" t="str">
        <f>"银行转证券"</f>
        <v>银行转证券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20000</v>
      </c>
      <c r="O568" s="2">
        <v>28615.81</v>
      </c>
      <c r="P568" s="2">
        <v>0</v>
      </c>
    </row>
    <row r="569" spans="1:16">
      <c r="A569" s="2" t="str">
        <f t="shared" si="240"/>
        <v>20151229</v>
      </c>
      <c r="B569" s="2" t="str">
        <f>"600886"</f>
        <v>600886</v>
      </c>
      <c r="C569" s="2" t="str">
        <f>"国投电力"</f>
        <v>国投电力</v>
      </c>
      <c r="D569" s="2" t="str">
        <f>"融资买入"</f>
        <v>融资买入</v>
      </c>
      <c r="E569" s="2">
        <v>8.39</v>
      </c>
      <c r="F569" s="2">
        <v>2000</v>
      </c>
      <c r="G569" s="2">
        <v>16780</v>
      </c>
      <c r="H569" s="2">
        <v>18.46</v>
      </c>
      <c r="I569" s="2">
        <v>17.3</v>
      </c>
      <c r="J569" s="2">
        <v>0</v>
      </c>
      <c r="K569" s="2">
        <v>0.34</v>
      </c>
      <c r="L569" s="2">
        <v>0</v>
      </c>
      <c r="M569" s="2">
        <v>0</v>
      </c>
      <c r="N569" s="2">
        <v>-16798.8</v>
      </c>
      <c r="O569" s="2">
        <v>11817.01</v>
      </c>
      <c r="P569" s="2">
        <v>12000</v>
      </c>
    </row>
    <row r="570" spans="1:16">
      <c r="A570" s="2" t="str">
        <f t="shared" si="240"/>
        <v>20151229</v>
      </c>
      <c r="B570" s="2" t="str">
        <f>"600575"</f>
        <v>600575</v>
      </c>
      <c r="C570" s="2" t="str">
        <f>"皖江物流"</f>
        <v>皖江物流</v>
      </c>
      <c r="D570" s="2" t="str">
        <f t="shared" ref="D570:D575" si="241">"担保品卖出"</f>
        <v>担保品卖出</v>
      </c>
      <c r="E570" s="2">
        <v>6.2</v>
      </c>
      <c r="F570" s="2">
        <v>4000</v>
      </c>
      <c r="G570" s="2">
        <v>24800</v>
      </c>
      <c r="H570" s="2">
        <v>7.69</v>
      </c>
      <c r="I570" s="2">
        <v>5.98</v>
      </c>
      <c r="J570" s="2">
        <v>24.8</v>
      </c>
      <c r="K570" s="2">
        <v>0.5</v>
      </c>
      <c r="L570" s="2">
        <v>0</v>
      </c>
      <c r="M570" s="2">
        <v>0</v>
      </c>
      <c r="N570" s="2">
        <v>24767.01</v>
      </c>
      <c r="O570" s="2">
        <v>36584.02</v>
      </c>
      <c r="P570" s="2">
        <v>0</v>
      </c>
    </row>
    <row r="571" spans="1:16">
      <c r="A571" s="2" t="str">
        <f t="shared" si="240"/>
        <v>20151229</v>
      </c>
      <c r="B571" s="2" t="str">
        <f t="shared" ref="B571:B576" si="242">"601607"</f>
        <v>601607</v>
      </c>
      <c r="C571" s="2" t="str">
        <f t="shared" ref="C571:C576" si="243">"上海医药"</f>
        <v>上海医药</v>
      </c>
      <c r="D571" s="2" t="str">
        <f t="shared" ref="D571:D576" si="244">"担保品买入"</f>
        <v>担保品买入</v>
      </c>
      <c r="E571" s="2">
        <v>19.32</v>
      </c>
      <c r="F571" s="2">
        <v>1000</v>
      </c>
      <c r="G571" s="2">
        <v>19320</v>
      </c>
      <c r="H571" s="2">
        <v>5.99</v>
      </c>
      <c r="I571" s="2">
        <v>4.66</v>
      </c>
      <c r="J571" s="2">
        <v>0</v>
      </c>
      <c r="K571" s="2">
        <v>0.39</v>
      </c>
      <c r="L571" s="2">
        <v>0</v>
      </c>
      <c r="M571" s="2">
        <v>0</v>
      </c>
      <c r="N571" s="2">
        <v>-19326.38</v>
      </c>
      <c r="O571" s="2">
        <v>17257.64</v>
      </c>
      <c r="P571" s="2">
        <v>1000</v>
      </c>
    </row>
    <row r="572" spans="1:16">
      <c r="A572" s="2" t="str">
        <f t="shared" si="240"/>
        <v>20151229</v>
      </c>
      <c r="B572" s="2" t="str">
        <f>"000667"</f>
        <v>000667</v>
      </c>
      <c r="C572" s="2" t="str">
        <f>"美好集团"</f>
        <v>美好集团</v>
      </c>
      <c r="D572" s="2" t="str">
        <f t="shared" si="244"/>
        <v>担保品买入</v>
      </c>
      <c r="E572" s="2">
        <v>5</v>
      </c>
      <c r="F572" s="2">
        <v>4000</v>
      </c>
      <c r="G572" s="2">
        <v>20000</v>
      </c>
      <c r="H572" s="2">
        <v>6.2</v>
      </c>
      <c r="I572" s="2">
        <v>4.43</v>
      </c>
      <c r="J572" s="2">
        <v>0</v>
      </c>
      <c r="K572" s="2">
        <v>0</v>
      </c>
      <c r="L572" s="2">
        <v>0</v>
      </c>
      <c r="M572" s="2">
        <v>0</v>
      </c>
      <c r="N572" s="2">
        <v>-20006.2</v>
      </c>
      <c r="O572" s="2">
        <v>-2748.56</v>
      </c>
      <c r="P572" s="2">
        <v>10000</v>
      </c>
    </row>
    <row r="573" spans="1:16">
      <c r="A573" s="2" t="str">
        <f t="shared" si="240"/>
        <v>20151229</v>
      </c>
      <c r="B573" s="2"/>
      <c r="C573" s="2"/>
      <c r="D573" s="2" t="str">
        <f>"融资借入"</f>
        <v>融资借入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16798.8</v>
      </c>
      <c r="O573" s="2">
        <v>14050.24</v>
      </c>
      <c r="P573" s="2">
        <v>0</v>
      </c>
    </row>
    <row r="574" spans="1:16">
      <c r="A574" s="2" t="str">
        <f>"20151230"</f>
        <v>20151230</v>
      </c>
      <c r="B574" s="2" t="str">
        <f t="shared" si="242"/>
        <v>601607</v>
      </c>
      <c r="C574" s="2" t="str">
        <f t="shared" si="243"/>
        <v>上海医药</v>
      </c>
      <c r="D574" s="2" t="str">
        <f t="shared" si="241"/>
        <v>担保品卖出</v>
      </c>
      <c r="E574" s="2">
        <v>19.7</v>
      </c>
      <c r="F574" s="2">
        <v>1000</v>
      </c>
      <c r="G574" s="2">
        <v>19700</v>
      </c>
      <c r="H574" s="2">
        <v>6.11</v>
      </c>
      <c r="I574" s="2">
        <v>4.76</v>
      </c>
      <c r="J574" s="2">
        <v>19.7</v>
      </c>
      <c r="K574" s="2">
        <v>0.39</v>
      </c>
      <c r="L574" s="2">
        <v>0</v>
      </c>
      <c r="M574" s="2">
        <v>0</v>
      </c>
      <c r="N574" s="2">
        <v>19673.8</v>
      </c>
      <c r="O574" s="2">
        <v>33724.04</v>
      </c>
      <c r="P574" s="2">
        <v>0</v>
      </c>
    </row>
    <row r="575" spans="1:16">
      <c r="A575" s="2" t="str">
        <f>"20151231"</f>
        <v>20151231</v>
      </c>
      <c r="B575" s="2" t="str">
        <f>"002154"</f>
        <v>002154</v>
      </c>
      <c r="C575" s="2" t="str">
        <f>"报 喜 鸟"</f>
        <v>报 喜 鸟</v>
      </c>
      <c r="D575" s="2" t="str">
        <f t="shared" si="241"/>
        <v>担保品卖出</v>
      </c>
      <c r="E575" s="2">
        <v>7.86</v>
      </c>
      <c r="F575" s="2">
        <v>1000</v>
      </c>
      <c r="G575" s="2">
        <v>7860</v>
      </c>
      <c r="H575" s="2">
        <v>5</v>
      </c>
      <c r="I575" s="2">
        <v>4.3</v>
      </c>
      <c r="J575" s="2">
        <v>7.86</v>
      </c>
      <c r="K575" s="2">
        <v>0</v>
      </c>
      <c r="L575" s="2">
        <v>0</v>
      </c>
      <c r="M575" s="2">
        <v>0</v>
      </c>
      <c r="N575" s="2">
        <v>7847.14</v>
      </c>
      <c r="O575" s="2">
        <v>41571.18</v>
      </c>
      <c r="P575" s="2">
        <v>0</v>
      </c>
    </row>
    <row r="576" spans="1:16">
      <c r="A576" s="2" t="str">
        <f>"20160104"</f>
        <v>20160104</v>
      </c>
      <c r="B576" s="2" t="str">
        <f t="shared" si="242"/>
        <v>601607</v>
      </c>
      <c r="C576" s="2" t="str">
        <f t="shared" si="243"/>
        <v>上海医药</v>
      </c>
      <c r="D576" s="2" t="str">
        <f t="shared" si="244"/>
        <v>担保品买入</v>
      </c>
      <c r="E576" s="2">
        <v>19</v>
      </c>
      <c r="F576" s="2">
        <v>1000</v>
      </c>
      <c r="G576" s="2">
        <v>19000</v>
      </c>
      <c r="H576" s="2">
        <v>5.89</v>
      </c>
      <c r="I576" s="2">
        <v>4.58</v>
      </c>
      <c r="J576" s="2">
        <v>0</v>
      </c>
      <c r="K576" s="2">
        <v>0.38</v>
      </c>
      <c r="L576" s="2">
        <v>0</v>
      </c>
      <c r="M576" s="2">
        <v>0</v>
      </c>
      <c r="N576" s="2">
        <v>-19006.27</v>
      </c>
      <c r="O576" s="2">
        <v>22564.91</v>
      </c>
      <c r="P576" s="2">
        <v>1000</v>
      </c>
    </row>
    <row r="577" spans="1:16">
      <c r="A577" s="2" t="str">
        <f t="shared" ref="A577:A585" si="245">"20160105"</f>
        <v>20160105</v>
      </c>
      <c r="B577" s="2" t="str">
        <f>"600066"</f>
        <v>600066</v>
      </c>
      <c r="C577" s="2" t="str">
        <f>"宇通客车"</f>
        <v>宇通客车</v>
      </c>
      <c r="D577" s="2" t="str">
        <f>"融资买入"</f>
        <v>融资买入</v>
      </c>
      <c r="E577" s="2">
        <v>21.62</v>
      </c>
      <c r="F577" s="2">
        <v>1000</v>
      </c>
      <c r="G577" s="2">
        <v>21620</v>
      </c>
      <c r="H577" s="2">
        <v>23.78</v>
      </c>
      <c r="I577" s="2">
        <v>22.28</v>
      </c>
      <c r="J577" s="2">
        <v>0</v>
      </c>
      <c r="K577" s="2">
        <v>0.43</v>
      </c>
      <c r="L577" s="2">
        <v>0</v>
      </c>
      <c r="M577" s="2">
        <v>0</v>
      </c>
      <c r="N577" s="2">
        <v>-21644.21</v>
      </c>
      <c r="O577" s="2">
        <v>920.7</v>
      </c>
      <c r="P577" s="2">
        <v>2000</v>
      </c>
    </row>
    <row r="578" spans="1:16">
      <c r="A578" s="2" t="str">
        <f t="shared" si="245"/>
        <v>20160105</v>
      </c>
      <c r="B578" s="2" t="str">
        <f>"601607"</f>
        <v>601607</v>
      </c>
      <c r="C578" s="2" t="str">
        <f>"上海医药"</f>
        <v>上海医药</v>
      </c>
      <c r="D578" s="2" t="str">
        <f>"融资买入"</f>
        <v>融资买入</v>
      </c>
      <c r="E578" s="2">
        <v>18.17</v>
      </c>
      <c r="F578" s="2">
        <v>1000</v>
      </c>
      <c r="G578" s="2">
        <v>18170</v>
      </c>
      <c r="H578" s="2">
        <v>19.99</v>
      </c>
      <c r="I578" s="2">
        <v>18.75</v>
      </c>
      <c r="J578" s="2">
        <v>0</v>
      </c>
      <c r="K578" s="2">
        <v>0.36</v>
      </c>
      <c r="L578" s="2">
        <v>0</v>
      </c>
      <c r="M578" s="2">
        <v>0</v>
      </c>
      <c r="N578" s="2">
        <v>-18190.35</v>
      </c>
      <c r="O578" s="2">
        <v>-17269.65</v>
      </c>
      <c r="P578" s="2">
        <v>2000</v>
      </c>
    </row>
    <row r="579" spans="1:16">
      <c r="A579" s="2" t="str">
        <f t="shared" si="245"/>
        <v>20160105</v>
      </c>
      <c r="B579" s="2" t="str">
        <f>"601607"</f>
        <v>601607</v>
      </c>
      <c r="C579" s="2" t="str">
        <f>"上海医药"</f>
        <v>上海医药</v>
      </c>
      <c r="D579" s="2" t="str">
        <f>"担保品卖出"</f>
        <v>担保品卖出</v>
      </c>
      <c r="E579" s="2">
        <v>18.73</v>
      </c>
      <c r="F579" s="2">
        <v>1000</v>
      </c>
      <c r="G579" s="2">
        <v>18730</v>
      </c>
      <c r="H579" s="2">
        <v>5.81</v>
      </c>
      <c r="I579" s="2">
        <v>4.53</v>
      </c>
      <c r="J579" s="2">
        <v>18.73</v>
      </c>
      <c r="K579" s="2">
        <v>0.37</v>
      </c>
      <c r="L579" s="2">
        <v>0</v>
      </c>
      <c r="M579" s="2">
        <v>0</v>
      </c>
      <c r="N579" s="2">
        <v>18705.09</v>
      </c>
      <c r="O579" s="2">
        <v>1435.44</v>
      </c>
      <c r="P579" s="2">
        <v>1000</v>
      </c>
    </row>
    <row r="580" spans="1:16">
      <c r="A580" s="2" t="str">
        <f t="shared" si="245"/>
        <v>20160105</v>
      </c>
      <c r="B580" s="2" t="str">
        <f>"000667"</f>
        <v>000667</v>
      </c>
      <c r="C580" s="2" t="str">
        <f>"美好集团"</f>
        <v>美好集团</v>
      </c>
      <c r="D580" s="2" t="str">
        <f>"担保品卖出"</f>
        <v>担保品卖出</v>
      </c>
      <c r="E580" s="2">
        <v>5.29</v>
      </c>
      <c r="F580" s="2">
        <v>3000</v>
      </c>
      <c r="G580" s="2">
        <v>15870</v>
      </c>
      <c r="H580" s="2">
        <v>5</v>
      </c>
      <c r="I580" s="2">
        <v>3.59</v>
      </c>
      <c r="J580" s="2">
        <v>15.87</v>
      </c>
      <c r="K580" s="2">
        <v>0</v>
      </c>
      <c r="L580" s="2">
        <v>0</v>
      </c>
      <c r="M580" s="2">
        <v>0</v>
      </c>
      <c r="N580" s="2">
        <v>15849.13</v>
      </c>
      <c r="O580" s="2">
        <v>17284.57</v>
      </c>
      <c r="P580" s="2">
        <v>7000</v>
      </c>
    </row>
    <row r="581" spans="1:16">
      <c r="A581" s="2" t="str">
        <f t="shared" si="245"/>
        <v>20160105</v>
      </c>
      <c r="B581" s="2"/>
      <c r="C581" s="2"/>
      <c r="D581" s="2" t="str">
        <f>"融资借入"</f>
        <v>融资借入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21644.21</v>
      </c>
      <c r="O581" s="2">
        <v>38928.78</v>
      </c>
      <c r="P581" s="2">
        <v>0</v>
      </c>
    </row>
    <row r="582" spans="1:16">
      <c r="A582" s="2" t="str">
        <f t="shared" si="245"/>
        <v>20160105</v>
      </c>
      <c r="B582" s="2"/>
      <c r="C582" s="2"/>
      <c r="D582" s="2" t="str">
        <f>"融资借入"</f>
        <v>融资借入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18190.35</v>
      </c>
      <c r="O582" s="2">
        <v>57119.13</v>
      </c>
      <c r="P582" s="2">
        <v>0</v>
      </c>
    </row>
    <row r="583" spans="1:16">
      <c r="A583" s="2" t="str">
        <f t="shared" si="245"/>
        <v>20160105</v>
      </c>
      <c r="B583" s="2"/>
      <c r="C583" s="2"/>
      <c r="D583" s="2" t="str">
        <f>"偿还融资负债本金"</f>
        <v>偿还融资负债本金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-18190.35</v>
      </c>
      <c r="O583" s="2">
        <v>38928.78</v>
      </c>
      <c r="P583" s="2">
        <v>0</v>
      </c>
    </row>
    <row r="584" spans="1:16">
      <c r="A584" s="2" t="str">
        <f t="shared" si="245"/>
        <v>20160105</v>
      </c>
      <c r="B584" s="2"/>
      <c r="C584" s="2"/>
      <c r="D584" s="2" t="str">
        <f>"偿还融资负债本金"</f>
        <v>偿还融资负债本金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-15136.63</v>
      </c>
      <c r="O584" s="2">
        <v>23792.15</v>
      </c>
      <c r="P584" s="2">
        <v>0</v>
      </c>
    </row>
    <row r="585" spans="1:16">
      <c r="A585" s="2" t="str">
        <f t="shared" si="245"/>
        <v>20160105</v>
      </c>
      <c r="B585" s="2"/>
      <c r="C585" s="2"/>
      <c r="D585" s="2" t="str">
        <f>"偿还融资利息"</f>
        <v>偿还融资利息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-28.08</v>
      </c>
      <c r="O585" s="2">
        <v>23764.07</v>
      </c>
      <c r="P585" s="2">
        <v>0</v>
      </c>
    </row>
    <row r="586" spans="1:16">
      <c r="A586" s="2" t="str">
        <f>"20160108"</f>
        <v>20160108</v>
      </c>
      <c r="B586" s="2" t="str">
        <f t="shared" ref="B586:B588" si="246">"601607"</f>
        <v>601607</v>
      </c>
      <c r="C586" s="2" t="str">
        <f t="shared" ref="C586:C588" si="247">"上海医药"</f>
        <v>上海医药</v>
      </c>
      <c r="D586" s="2" t="str">
        <f>"担保品买入"</f>
        <v>担保品买入</v>
      </c>
      <c r="E586" s="2">
        <v>18.11</v>
      </c>
      <c r="F586" s="2">
        <v>1000</v>
      </c>
      <c r="G586" s="2">
        <v>18110</v>
      </c>
      <c r="H586" s="2">
        <v>5.61</v>
      </c>
      <c r="I586" s="2">
        <v>4.36</v>
      </c>
      <c r="J586" s="2">
        <v>0</v>
      </c>
      <c r="K586" s="2">
        <v>0.36</v>
      </c>
      <c r="L586" s="2">
        <v>0</v>
      </c>
      <c r="M586" s="2">
        <v>0</v>
      </c>
      <c r="N586" s="2">
        <v>-18115.97</v>
      </c>
      <c r="O586" s="2">
        <v>5648.1</v>
      </c>
      <c r="P586" s="2">
        <v>2000</v>
      </c>
    </row>
    <row r="587" spans="1:16">
      <c r="A587" s="2" t="str">
        <f>"20160108"</f>
        <v>20160108</v>
      </c>
      <c r="B587" s="2" t="str">
        <f t="shared" si="246"/>
        <v>601607</v>
      </c>
      <c r="C587" s="2" t="str">
        <f t="shared" si="247"/>
        <v>上海医药</v>
      </c>
      <c r="D587" s="2" t="str">
        <f>"担保品卖出"</f>
        <v>担保品卖出</v>
      </c>
      <c r="E587" s="2">
        <v>18.37</v>
      </c>
      <c r="F587" s="2">
        <v>1000</v>
      </c>
      <c r="G587" s="2">
        <v>18370</v>
      </c>
      <c r="H587" s="2">
        <v>5.69</v>
      </c>
      <c r="I587" s="2">
        <v>4.43</v>
      </c>
      <c r="J587" s="2">
        <v>18.37</v>
      </c>
      <c r="K587" s="2">
        <v>0.37</v>
      </c>
      <c r="L587" s="2">
        <v>0</v>
      </c>
      <c r="M587" s="2">
        <v>0</v>
      </c>
      <c r="N587" s="2">
        <v>18345.57</v>
      </c>
      <c r="O587" s="2">
        <v>23993.67</v>
      </c>
      <c r="P587" s="2">
        <v>1000</v>
      </c>
    </row>
    <row r="588" spans="1:16">
      <c r="A588" s="2" t="str">
        <f t="shared" ref="A588:A590" si="248">"20160111"</f>
        <v>20160111</v>
      </c>
      <c r="B588" s="2" t="str">
        <f t="shared" si="246"/>
        <v>601607</v>
      </c>
      <c r="C588" s="2" t="str">
        <f t="shared" si="247"/>
        <v>上海医药</v>
      </c>
      <c r="D588" s="2" t="str">
        <f>"担保品买入"</f>
        <v>担保品买入</v>
      </c>
      <c r="E588" s="2">
        <v>18.08</v>
      </c>
      <c r="F588" s="2">
        <v>1000</v>
      </c>
      <c r="G588" s="2">
        <v>18080</v>
      </c>
      <c r="H588" s="2">
        <v>5.6</v>
      </c>
      <c r="I588" s="2">
        <v>4.35</v>
      </c>
      <c r="J588" s="2">
        <v>0</v>
      </c>
      <c r="K588" s="2">
        <v>0.36</v>
      </c>
      <c r="L588" s="2">
        <v>0</v>
      </c>
      <c r="M588" s="2">
        <v>0</v>
      </c>
      <c r="N588" s="2">
        <v>-18085.96</v>
      </c>
      <c r="O588" s="2">
        <v>5907.71</v>
      </c>
      <c r="P588" s="2">
        <v>2000</v>
      </c>
    </row>
    <row r="589" spans="1:16">
      <c r="A589" s="2" t="str">
        <f t="shared" si="248"/>
        <v>20160111</v>
      </c>
      <c r="B589" s="2" t="str">
        <f>"600066"</f>
        <v>600066</v>
      </c>
      <c r="C589" s="2" t="str">
        <f>"宇通客车"</f>
        <v>宇通客车</v>
      </c>
      <c r="D589" s="2" t="str">
        <f>"融资买入"</f>
        <v>融资买入</v>
      </c>
      <c r="E589" s="2">
        <v>19.258</v>
      </c>
      <c r="F589" s="2">
        <v>500</v>
      </c>
      <c r="G589" s="2">
        <v>9629</v>
      </c>
      <c r="H589" s="2">
        <v>10.59</v>
      </c>
      <c r="I589" s="2">
        <v>9.93</v>
      </c>
      <c r="J589" s="2">
        <v>0</v>
      </c>
      <c r="K589" s="2">
        <v>0.19</v>
      </c>
      <c r="L589" s="2">
        <v>0</v>
      </c>
      <c r="M589" s="2">
        <v>0</v>
      </c>
      <c r="N589" s="2">
        <v>-9639.78</v>
      </c>
      <c r="O589" s="2">
        <v>-3732.07</v>
      </c>
      <c r="P589" s="2">
        <v>2500</v>
      </c>
    </row>
    <row r="590" spans="1:16">
      <c r="A590" s="2" t="str">
        <f t="shared" si="248"/>
        <v>20160111</v>
      </c>
      <c r="B590" s="2"/>
      <c r="C590" s="2"/>
      <c r="D590" s="2" t="str">
        <f>"融资借入"</f>
        <v>融资借入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9639.78</v>
      </c>
      <c r="O590" s="2">
        <v>5907.71</v>
      </c>
      <c r="P590" s="2">
        <v>0</v>
      </c>
    </row>
    <row r="591" spans="1:16">
      <c r="A591" s="2" t="str">
        <f>"20160112"</f>
        <v>20160112</v>
      </c>
      <c r="B591" s="2" t="str">
        <f>"600886"</f>
        <v>600886</v>
      </c>
      <c r="C591" s="2" t="str">
        <f>"国投电力"</f>
        <v>国投电力</v>
      </c>
      <c r="D591" s="2" t="str">
        <f>"融资买入"</f>
        <v>融资买入</v>
      </c>
      <c r="E591" s="2">
        <v>7.095</v>
      </c>
      <c r="F591" s="2">
        <v>2000</v>
      </c>
      <c r="G591" s="2">
        <v>14190</v>
      </c>
      <c r="H591" s="2">
        <v>15.61</v>
      </c>
      <c r="I591" s="2">
        <v>14.63</v>
      </c>
      <c r="J591" s="2">
        <v>0</v>
      </c>
      <c r="K591" s="2">
        <v>0.28</v>
      </c>
      <c r="L591" s="2">
        <v>0</v>
      </c>
      <c r="M591" s="2">
        <v>0</v>
      </c>
      <c r="N591" s="2">
        <v>-14205.89</v>
      </c>
      <c r="O591" s="2">
        <v>-8298.18</v>
      </c>
      <c r="P591" s="2">
        <v>14000</v>
      </c>
    </row>
    <row r="592" spans="1:16">
      <c r="A592" s="2" t="str">
        <f>"20160112"</f>
        <v>20160112</v>
      </c>
      <c r="B592" s="2"/>
      <c r="C592" s="2"/>
      <c r="D592" s="2" t="str">
        <f>"融资借入"</f>
        <v>融资借入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14205.89</v>
      </c>
      <c r="O592" s="2">
        <v>5907.71</v>
      </c>
      <c r="P592" s="2">
        <v>0</v>
      </c>
    </row>
    <row r="593" spans="1:16">
      <c r="A593" s="2" t="str">
        <f>"20160114"</f>
        <v>20160114</v>
      </c>
      <c r="B593" s="2" t="str">
        <f t="shared" ref="B593:B598" si="249">"000667"</f>
        <v>000667</v>
      </c>
      <c r="C593" s="2" t="str">
        <f t="shared" ref="C593:C598" si="250">"美好集团"</f>
        <v>美好集团</v>
      </c>
      <c r="D593" s="2" t="str">
        <f t="shared" ref="D593:D597" si="251">"担保品买入"</f>
        <v>担保品买入</v>
      </c>
      <c r="E593" s="2">
        <v>5.14</v>
      </c>
      <c r="F593" s="2">
        <v>1000</v>
      </c>
      <c r="G593" s="2">
        <v>5140</v>
      </c>
      <c r="H593" s="2">
        <v>5</v>
      </c>
      <c r="I593" s="2">
        <v>4.55</v>
      </c>
      <c r="J593" s="2">
        <v>0</v>
      </c>
      <c r="K593" s="2">
        <v>0</v>
      </c>
      <c r="L593" s="2">
        <v>0</v>
      </c>
      <c r="M593" s="2">
        <v>0</v>
      </c>
      <c r="N593" s="2">
        <v>-5145</v>
      </c>
      <c r="O593" s="2">
        <v>762.71</v>
      </c>
      <c r="P593" s="2">
        <v>8000</v>
      </c>
    </row>
    <row r="594" spans="1:16">
      <c r="A594" s="2" t="str">
        <f>"20160114"</f>
        <v>20160114</v>
      </c>
      <c r="B594" s="2" t="str">
        <f t="shared" si="249"/>
        <v>000667</v>
      </c>
      <c r="C594" s="2" t="str">
        <f t="shared" si="250"/>
        <v>美好集团</v>
      </c>
      <c r="D594" s="2" t="str">
        <f t="shared" ref="D594:D598" si="252">"担保品卖出"</f>
        <v>担保品卖出</v>
      </c>
      <c r="E594" s="2">
        <v>5.25</v>
      </c>
      <c r="F594" s="2">
        <v>1000</v>
      </c>
      <c r="G594" s="2">
        <v>5250</v>
      </c>
      <c r="H594" s="2">
        <v>5</v>
      </c>
      <c r="I594" s="2">
        <v>4.52</v>
      </c>
      <c r="J594" s="2">
        <v>5.25</v>
      </c>
      <c r="K594" s="2">
        <v>0</v>
      </c>
      <c r="L594" s="2">
        <v>0</v>
      </c>
      <c r="M594" s="2">
        <v>0</v>
      </c>
      <c r="N594" s="2">
        <v>5239.75</v>
      </c>
      <c r="O594" s="2">
        <v>6002.46</v>
      </c>
      <c r="P594" s="2">
        <v>7000</v>
      </c>
    </row>
    <row r="595" spans="1:16">
      <c r="A595" s="2" t="str">
        <f>"20160115"</f>
        <v>20160115</v>
      </c>
      <c r="B595" s="2" t="str">
        <f t="shared" si="249"/>
        <v>000667</v>
      </c>
      <c r="C595" s="2" t="str">
        <f t="shared" si="250"/>
        <v>美好集团</v>
      </c>
      <c r="D595" s="2" t="str">
        <f t="shared" si="251"/>
        <v>担保品买入</v>
      </c>
      <c r="E595" s="2">
        <v>5.32</v>
      </c>
      <c r="F595" s="2">
        <v>1000</v>
      </c>
      <c r="G595" s="2">
        <v>5320</v>
      </c>
      <c r="H595" s="2">
        <v>5</v>
      </c>
      <c r="I595" s="2">
        <v>4.52</v>
      </c>
      <c r="J595" s="2">
        <v>0</v>
      </c>
      <c r="K595" s="2">
        <v>0</v>
      </c>
      <c r="L595" s="2">
        <v>0</v>
      </c>
      <c r="M595" s="2">
        <v>0</v>
      </c>
      <c r="N595" s="2">
        <v>-5325</v>
      </c>
      <c r="O595" s="2">
        <v>677.46</v>
      </c>
      <c r="P595" s="2">
        <v>8000</v>
      </c>
    </row>
    <row r="596" spans="1:16">
      <c r="A596" s="2" t="str">
        <f>"20160115"</f>
        <v>20160115</v>
      </c>
      <c r="B596" s="2" t="str">
        <f t="shared" si="249"/>
        <v>000667</v>
      </c>
      <c r="C596" s="2" t="str">
        <f t="shared" si="250"/>
        <v>美好集团</v>
      </c>
      <c r="D596" s="2" t="str">
        <f t="shared" si="252"/>
        <v>担保品卖出</v>
      </c>
      <c r="E596" s="2">
        <v>5.47</v>
      </c>
      <c r="F596" s="2">
        <v>1000</v>
      </c>
      <c r="G596" s="2">
        <v>5470</v>
      </c>
      <c r="H596" s="2">
        <v>5</v>
      </c>
      <c r="I596" s="2">
        <v>4.51</v>
      </c>
      <c r="J596" s="2">
        <v>5.47</v>
      </c>
      <c r="K596" s="2">
        <v>0</v>
      </c>
      <c r="L596" s="2">
        <v>0</v>
      </c>
      <c r="M596" s="2">
        <v>0</v>
      </c>
      <c r="N596" s="2">
        <v>5459.53</v>
      </c>
      <c r="O596" s="2">
        <v>6136.99</v>
      </c>
      <c r="P596" s="2">
        <v>7000</v>
      </c>
    </row>
    <row r="597" spans="1:16">
      <c r="A597" s="2" t="str">
        <f>"20160118"</f>
        <v>20160118</v>
      </c>
      <c r="B597" s="2" t="str">
        <f t="shared" si="249"/>
        <v>000667</v>
      </c>
      <c r="C597" s="2" t="str">
        <f t="shared" si="250"/>
        <v>美好集团</v>
      </c>
      <c r="D597" s="2" t="str">
        <f t="shared" si="251"/>
        <v>担保品买入</v>
      </c>
      <c r="E597" s="2">
        <v>5.03</v>
      </c>
      <c r="F597" s="2">
        <v>1000</v>
      </c>
      <c r="G597" s="2">
        <v>5030</v>
      </c>
      <c r="H597" s="2">
        <v>5</v>
      </c>
      <c r="I597" s="2">
        <v>4.56</v>
      </c>
      <c r="J597" s="2">
        <v>0</v>
      </c>
      <c r="K597" s="2">
        <v>0</v>
      </c>
      <c r="L597" s="2">
        <v>0</v>
      </c>
      <c r="M597" s="2">
        <v>0</v>
      </c>
      <c r="N597" s="2">
        <v>-5035</v>
      </c>
      <c r="O597" s="2">
        <v>1101.99</v>
      </c>
      <c r="P597" s="2">
        <v>8000</v>
      </c>
    </row>
    <row r="598" spans="1:16">
      <c r="A598" s="2" t="str">
        <f>"20160118"</f>
        <v>20160118</v>
      </c>
      <c r="B598" s="2" t="str">
        <f t="shared" si="249"/>
        <v>000667</v>
      </c>
      <c r="C598" s="2" t="str">
        <f t="shared" si="250"/>
        <v>美好集团</v>
      </c>
      <c r="D598" s="2" t="str">
        <f t="shared" si="252"/>
        <v>担保品卖出</v>
      </c>
      <c r="E598" s="2">
        <v>5.2</v>
      </c>
      <c r="F598" s="2">
        <v>1000</v>
      </c>
      <c r="G598" s="2">
        <v>5200</v>
      </c>
      <c r="H598" s="2">
        <v>5</v>
      </c>
      <c r="I598" s="2">
        <v>4.54</v>
      </c>
      <c r="J598" s="2">
        <v>5.2</v>
      </c>
      <c r="K598" s="2">
        <v>0</v>
      </c>
      <c r="L598" s="2">
        <v>0</v>
      </c>
      <c r="M598" s="2">
        <v>0</v>
      </c>
      <c r="N598" s="2">
        <v>5189.8</v>
      </c>
      <c r="O598" s="2">
        <v>6291.79</v>
      </c>
      <c r="P598" s="2">
        <v>7000</v>
      </c>
    </row>
    <row r="599" spans="1:16">
      <c r="A599" s="2" t="str">
        <f t="shared" ref="A599:A601" si="253">"20160127"</f>
        <v>20160127</v>
      </c>
      <c r="B599" s="2"/>
      <c r="C599" s="2"/>
      <c r="D599" s="2" t="str">
        <f>"银行转证券"</f>
        <v>银行转证券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20000</v>
      </c>
      <c r="O599" s="2">
        <v>26291.79</v>
      </c>
      <c r="P599" s="2">
        <v>0</v>
      </c>
    </row>
    <row r="600" spans="1:16">
      <c r="A600" s="2" t="str">
        <f t="shared" si="253"/>
        <v>20160127</v>
      </c>
      <c r="B600" s="2" t="str">
        <f>"601607"</f>
        <v>601607</v>
      </c>
      <c r="C600" s="2" t="str">
        <f>"上海医药"</f>
        <v>上海医药</v>
      </c>
      <c r="D600" s="2" t="str">
        <f t="shared" ref="D600:D602" si="254">"担保品买入"</f>
        <v>担保品买入</v>
      </c>
      <c r="E600" s="2">
        <v>15.03</v>
      </c>
      <c r="F600" s="2">
        <v>500</v>
      </c>
      <c r="G600" s="2">
        <v>7515</v>
      </c>
      <c r="H600" s="2">
        <v>5</v>
      </c>
      <c r="I600" s="2">
        <v>4.48</v>
      </c>
      <c r="J600" s="2">
        <v>0</v>
      </c>
      <c r="K600" s="2">
        <v>0.15</v>
      </c>
      <c r="L600" s="2">
        <v>0</v>
      </c>
      <c r="M600" s="2">
        <v>0</v>
      </c>
      <c r="N600" s="2">
        <v>-7520.15</v>
      </c>
      <c r="O600" s="2">
        <v>18771.64</v>
      </c>
      <c r="P600" s="2">
        <v>2500</v>
      </c>
    </row>
    <row r="601" spans="1:16">
      <c r="A601" s="2" t="str">
        <f t="shared" si="253"/>
        <v>20160127</v>
      </c>
      <c r="B601" s="2" t="str">
        <f>"600886"</f>
        <v>600886</v>
      </c>
      <c r="C601" s="2" t="str">
        <f>"国投电力"</f>
        <v>国投电力</v>
      </c>
      <c r="D601" s="2" t="str">
        <f t="shared" si="254"/>
        <v>担保品买入</v>
      </c>
      <c r="E601" s="2">
        <v>6.22</v>
      </c>
      <c r="F601" s="2">
        <v>2000</v>
      </c>
      <c r="G601" s="2">
        <v>12440</v>
      </c>
      <c r="H601" s="2">
        <v>5</v>
      </c>
      <c r="I601" s="2">
        <v>4.14</v>
      </c>
      <c r="J601" s="2">
        <v>0</v>
      </c>
      <c r="K601" s="2">
        <v>0.25</v>
      </c>
      <c r="L601" s="2">
        <v>0</v>
      </c>
      <c r="M601" s="2">
        <v>0</v>
      </c>
      <c r="N601" s="2">
        <v>-12445.25</v>
      </c>
      <c r="O601" s="2">
        <v>6326.39</v>
      </c>
      <c r="P601" s="2">
        <v>16000</v>
      </c>
    </row>
    <row r="602" spans="1:16">
      <c r="A602" s="2" t="str">
        <f>"20160202"</f>
        <v>20160202</v>
      </c>
      <c r="B602" s="2" t="str">
        <f>"000667"</f>
        <v>000667</v>
      </c>
      <c r="C602" s="2" t="str">
        <f>"美好集团"</f>
        <v>美好集团</v>
      </c>
      <c r="D602" s="2" t="str">
        <f t="shared" si="254"/>
        <v>担保品买入</v>
      </c>
      <c r="E602" s="2">
        <v>3.66</v>
      </c>
      <c r="F602" s="2">
        <v>1700</v>
      </c>
      <c r="G602" s="2">
        <v>6222</v>
      </c>
      <c r="H602" s="2">
        <v>5</v>
      </c>
      <c r="I602" s="2">
        <v>4.46</v>
      </c>
      <c r="J602" s="2">
        <v>0</v>
      </c>
      <c r="K602" s="2">
        <v>0</v>
      </c>
      <c r="L602" s="2">
        <v>0</v>
      </c>
      <c r="M602" s="2">
        <v>0</v>
      </c>
      <c r="N602" s="2">
        <v>-6227</v>
      </c>
      <c r="O602" s="2">
        <v>99.39</v>
      </c>
      <c r="P602" s="2">
        <v>8700</v>
      </c>
    </row>
    <row r="603" spans="1:16">
      <c r="A603" s="2" t="str">
        <f>"20160203"</f>
        <v>20160203</v>
      </c>
      <c r="B603" s="2" t="str">
        <f>"000667"</f>
        <v>000667</v>
      </c>
      <c r="C603" s="2" t="str">
        <f>"美好集团"</f>
        <v>美好集团</v>
      </c>
      <c r="D603" s="2" t="str">
        <f>"担保品卖出"</f>
        <v>担保品卖出</v>
      </c>
      <c r="E603" s="2">
        <v>3.96</v>
      </c>
      <c r="F603" s="2">
        <v>1700</v>
      </c>
      <c r="G603" s="2">
        <v>6732</v>
      </c>
      <c r="H603" s="2">
        <v>5</v>
      </c>
      <c r="I603" s="2">
        <v>4.41</v>
      </c>
      <c r="J603" s="2">
        <v>6.73</v>
      </c>
      <c r="K603" s="2">
        <v>0</v>
      </c>
      <c r="L603" s="2">
        <v>0</v>
      </c>
      <c r="M603" s="2">
        <v>0</v>
      </c>
      <c r="N603" s="2">
        <v>6720.27</v>
      </c>
      <c r="O603" s="2">
        <v>6819.66</v>
      </c>
      <c r="P603" s="2">
        <v>7000</v>
      </c>
    </row>
    <row r="604" spans="1:16">
      <c r="A604" s="2" t="str">
        <f>"20160203"</f>
        <v>20160203</v>
      </c>
      <c r="B604" s="2" t="str">
        <f>"601607"</f>
        <v>601607</v>
      </c>
      <c r="C604" s="2" t="str">
        <f>"上海医药"</f>
        <v>上海医药</v>
      </c>
      <c r="D604" s="2" t="str">
        <f>"担保品卖出"</f>
        <v>担保品卖出</v>
      </c>
      <c r="E604" s="2">
        <v>15.28</v>
      </c>
      <c r="F604" s="2">
        <v>500</v>
      </c>
      <c r="G604" s="2">
        <v>7640</v>
      </c>
      <c r="H604" s="2">
        <v>5</v>
      </c>
      <c r="I604" s="2">
        <v>4.48</v>
      </c>
      <c r="J604" s="2">
        <v>7.64</v>
      </c>
      <c r="K604" s="2">
        <v>0.15</v>
      </c>
      <c r="L604" s="2">
        <v>0</v>
      </c>
      <c r="M604" s="2">
        <v>0</v>
      </c>
      <c r="N604" s="2">
        <v>7627.21</v>
      </c>
      <c r="O604" s="2">
        <v>14446.87</v>
      </c>
      <c r="P604" s="2">
        <v>2000</v>
      </c>
    </row>
    <row r="605" spans="1:16">
      <c r="A605" s="2" t="str">
        <f>"20160205"</f>
        <v>20160205</v>
      </c>
      <c r="B605" s="2"/>
      <c r="C605" s="2"/>
      <c r="D605" s="2" t="str">
        <f>"偿还融资负债本金"</f>
        <v>偿还融资负债本金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-13825.85</v>
      </c>
      <c r="O605" s="2">
        <v>446.87</v>
      </c>
      <c r="P605" s="2">
        <v>0</v>
      </c>
    </row>
    <row r="606" spans="1:16">
      <c r="A606" s="2" t="str">
        <f>"20160205"</f>
        <v>20160205</v>
      </c>
      <c r="B606" s="2"/>
      <c r="C606" s="2"/>
      <c r="D606" s="2" t="str">
        <f>"偿还融资利息"</f>
        <v>偿还融资利息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-174.15</v>
      </c>
      <c r="O606" s="2">
        <v>14272.72</v>
      </c>
      <c r="P606" s="2">
        <v>0</v>
      </c>
    </row>
    <row r="607" spans="1:16">
      <c r="A607" s="2" t="str">
        <f t="shared" ref="A607:A609" si="255">"20160219"</f>
        <v>20160219</v>
      </c>
      <c r="B607" s="2"/>
      <c r="C607" s="2"/>
      <c r="D607" s="2" t="str">
        <f>"银行转证券"</f>
        <v>银行转证券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5000</v>
      </c>
      <c r="O607" s="2">
        <v>5446.87</v>
      </c>
      <c r="P607" s="2">
        <v>0</v>
      </c>
    </row>
    <row r="608" spans="1:16">
      <c r="A608" s="2" t="str">
        <f t="shared" si="255"/>
        <v>20160219</v>
      </c>
      <c r="B608" s="2" t="str">
        <f>"600066"</f>
        <v>600066</v>
      </c>
      <c r="C608" s="2" t="str">
        <f>"宇通客车"</f>
        <v>宇通客车</v>
      </c>
      <c r="D608" s="2" t="str">
        <f>"融资买入"</f>
        <v>融资买入</v>
      </c>
      <c r="E608" s="2">
        <v>19.3</v>
      </c>
      <c r="F608" s="2">
        <v>500</v>
      </c>
      <c r="G608" s="2">
        <v>9650</v>
      </c>
      <c r="H608" s="2">
        <v>10.62</v>
      </c>
      <c r="I608" s="2">
        <v>9.96</v>
      </c>
      <c r="J608" s="2">
        <v>0</v>
      </c>
      <c r="K608" s="2">
        <v>0.19</v>
      </c>
      <c r="L608" s="2">
        <v>0</v>
      </c>
      <c r="M608" s="2">
        <v>0</v>
      </c>
      <c r="N608" s="2">
        <v>-9660.81</v>
      </c>
      <c r="O608" s="2">
        <v>-4213.94</v>
      </c>
      <c r="P608" s="2">
        <v>3000</v>
      </c>
    </row>
    <row r="609" spans="1:16">
      <c r="A609" s="2" t="str">
        <f t="shared" si="255"/>
        <v>20160219</v>
      </c>
      <c r="B609" s="2"/>
      <c r="C609" s="2"/>
      <c r="D609" s="2" t="str">
        <f>"融资借入"</f>
        <v>融资借入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9660.81</v>
      </c>
      <c r="O609" s="2">
        <v>5446.87</v>
      </c>
      <c r="P609" s="2">
        <v>0</v>
      </c>
    </row>
    <row r="610" spans="1:16">
      <c r="A610" s="2" t="str">
        <f t="shared" ref="A610:A613" si="256">"20160222"</f>
        <v>20160222</v>
      </c>
      <c r="B610" s="2"/>
      <c r="C610" s="2"/>
      <c r="D610" s="2" t="str">
        <f>"银行转证券"</f>
        <v>银行转证券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15000</v>
      </c>
      <c r="O610" s="2">
        <v>20446.87</v>
      </c>
      <c r="P610" s="2">
        <v>0</v>
      </c>
    </row>
    <row r="611" spans="1:16">
      <c r="A611" s="2" t="str">
        <f t="shared" si="256"/>
        <v>20160222</v>
      </c>
      <c r="B611" s="2" t="str">
        <f t="shared" ref="B611:B616" si="257">"600066"</f>
        <v>600066</v>
      </c>
      <c r="C611" s="2" t="str">
        <f t="shared" ref="C611:C616" si="258">"宇通客车"</f>
        <v>宇通客车</v>
      </c>
      <c r="D611" s="2" t="str">
        <f>"担保品卖出"</f>
        <v>担保品卖出</v>
      </c>
      <c r="E611" s="2">
        <v>19.88</v>
      </c>
      <c r="F611" s="2">
        <v>500</v>
      </c>
      <c r="G611" s="2">
        <v>9940</v>
      </c>
      <c r="H611" s="2">
        <v>5</v>
      </c>
      <c r="I611" s="2">
        <v>4.31</v>
      </c>
      <c r="J611" s="2">
        <v>9.94</v>
      </c>
      <c r="K611" s="2">
        <v>0.2</v>
      </c>
      <c r="L611" s="2">
        <v>0</v>
      </c>
      <c r="M611" s="2">
        <v>0</v>
      </c>
      <c r="N611" s="2">
        <v>9924.86</v>
      </c>
      <c r="O611" s="2">
        <v>30371.73</v>
      </c>
      <c r="P611" s="2">
        <v>2500</v>
      </c>
    </row>
    <row r="612" spans="1:16">
      <c r="A612" s="2" t="str">
        <f t="shared" si="256"/>
        <v>20160222</v>
      </c>
      <c r="B612" s="2" t="str">
        <f>"600886"</f>
        <v>600886</v>
      </c>
      <c r="C612" s="2" t="str">
        <f>"国投电力"</f>
        <v>国投电力</v>
      </c>
      <c r="D612" s="2" t="str">
        <f>"担保品买入"</f>
        <v>担保品买入</v>
      </c>
      <c r="E612" s="2">
        <v>6.51</v>
      </c>
      <c r="F612" s="2">
        <v>3000</v>
      </c>
      <c r="G612" s="2">
        <v>19530</v>
      </c>
      <c r="H612" s="2">
        <v>6.05</v>
      </c>
      <c r="I612" s="2">
        <v>4.72</v>
      </c>
      <c r="J612" s="2">
        <v>0</v>
      </c>
      <c r="K612" s="2">
        <v>0.39</v>
      </c>
      <c r="L612" s="2">
        <v>0</v>
      </c>
      <c r="M612" s="2">
        <v>0</v>
      </c>
      <c r="N612" s="2">
        <v>-19536.44</v>
      </c>
      <c r="O612" s="2">
        <v>10835.29</v>
      </c>
      <c r="P612" s="2">
        <v>19000</v>
      </c>
    </row>
    <row r="613" spans="1:16">
      <c r="A613" s="2" t="str">
        <f t="shared" si="256"/>
        <v>20160222</v>
      </c>
      <c r="B613" s="2"/>
      <c r="C613" s="2"/>
      <c r="D613" s="2" t="str">
        <f>"偿还融资负债本金"</f>
        <v>偿还融资负债本金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-9900.04</v>
      </c>
      <c r="O613" s="2">
        <v>935.25</v>
      </c>
      <c r="P613" s="2">
        <v>0</v>
      </c>
    </row>
    <row r="614" spans="1:16">
      <c r="A614" s="2" t="str">
        <f>"20160223"</f>
        <v>20160223</v>
      </c>
      <c r="B614" s="2" t="str">
        <f t="shared" si="257"/>
        <v>600066</v>
      </c>
      <c r="C614" s="2" t="str">
        <f t="shared" si="258"/>
        <v>宇通客车</v>
      </c>
      <c r="D614" s="2" t="str">
        <f>"融资买入"</f>
        <v>融资买入</v>
      </c>
      <c r="E614" s="2">
        <v>19.16</v>
      </c>
      <c r="F614" s="2">
        <v>500</v>
      </c>
      <c r="G614" s="2">
        <v>9580</v>
      </c>
      <c r="H614" s="2">
        <v>10.54</v>
      </c>
      <c r="I614" s="2">
        <v>9.88</v>
      </c>
      <c r="J614" s="2">
        <v>0</v>
      </c>
      <c r="K614" s="2">
        <v>0.19</v>
      </c>
      <c r="L614" s="2">
        <v>0</v>
      </c>
      <c r="M614" s="2">
        <v>0</v>
      </c>
      <c r="N614" s="2">
        <v>-9590.73</v>
      </c>
      <c r="O614" s="2">
        <v>-8655.48</v>
      </c>
      <c r="P614" s="2">
        <v>3000</v>
      </c>
    </row>
    <row r="615" spans="1:16">
      <c r="A615" s="2" t="str">
        <f>"20160223"</f>
        <v>20160223</v>
      </c>
      <c r="B615" s="2"/>
      <c r="C615" s="2"/>
      <c r="D615" s="2" t="str">
        <f>"融资借入"</f>
        <v>融资借入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9590.73</v>
      </c>
      <c r="O615" s="2">
        <v>935.25</v>
      </c>
      <c r="P615" s="2">
        <v>0</v>
      </c>
    </row>
    <row r="616" spans="1:16">
      <c r="A616" s="2" t="str">
        <f>"20160224"</f>
        <v>20160224</v>
      </c>
      <c r="B616" s="2" t="str">
        <f t="shared" si="257"/>
        <v>600066</v>
      </c>
      <c r="C616" s="2" t="str">
        <f t="shared" si="258"/>
        <v>宇通客车</v>
      </c>
      <c r="D616" s="2" t="str">
        <f t="shared" ref="D616:D621" si="259">"担保品卖出"</f>
        <v>担保品卖出</v>
      </c>
      <c r="E616" s="2">
        <v>19.38</v>
      </c>
      <c r="F616" s="2">
        <v>500</v>
      </c>
      <c r="G616" s="2">
        <v>9690</v>
      </c>
      <c r="H616" s="2">
        <v>5</v>
      </c>
      <c r="I616" s="2">
        <v>4.34</v>
      </c>
      <c r="J616" s="2">
        <v>9.69</v>
      </c>
      <c r="K616" s="2">
        <v>0.19</v>
      </c>
      <c r="L616" s="2">
        <v>0</v>
      </c>
      <c r="M616" s="2">
        <v>0</v>
      </c>
      <c r="N616" s="2">
        <v>9675.12</v>
      </c>
      <c r="O616" s="2">
        <v>10610.37</v>
      </c>
      <c r="P616" s="2">
        <v>2500</v>
      </c>
    </row>
    <row r="617" spans="1:16">
      <c r="A617" s="2" t="str">
        <f>"20160224"</f>
        <v>20160224</v>
      </c>
      <c r="B617" s="2"/>
      <c r="C617" s="2"/>
      <c r="D617" s="2" t="str">
        <f>"偿还融资负债本金"</f>
        <v>偿还融资负债本金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-9651.05</v>
      </c>
      <c r="O617" s="2">
        <v>959.32</v>
      </c>
      <c r="P617" s="2">
        <v>0</v>
      </c>
    </row>
    <row r="618" spans="1:16">
      <c r="A618" s="2" t="str">
        <f t="shared" ref="A618:A629" si="260">"20160225"</f>
        <v>20160225</v>
      </c>
      <c r="B618" s="2" t="str">
        <f t="shared" ref="B618:B621" si="261">"600066"</f>
        <v>600066</v>
      </c>
      <c r="C618" s="2" t="str">
        <f t="shared" ref="C618:C621" si="262">"宇通客车"</f>
        <v>宇通客车</v>
      </c>
      <c r="D618" s="2" t="str">
        <f t="shared" si="259"/>
        <v>担保品卖出</v>
      </c>
      <c r="E618" s="2">
        <v>19.87</v>
      </c>
      <c r="F618" s="2">
        <v>500</v>
      </c>
      <c r="G618" s="2">
        <v>9935</v>
      </c>
      <c r="H618" s="2">
        <v>5</v>
      </c>
      <c r="I618" s="2">
        <v>4.32</v>
      </c>
      <c r="J618" s="2">
        <v>9.94</v>
      </c>
      <c r="K618" s="2">
        <v>0.2</v>
      </c>
      <c r="L618" s="2">
        <v>0</v>
      </c>
      <c r="M618" s="2">
        <v>0</v>
      </c>
      <c r="N618" s="2">
        <v>9919.86</v>
      </c>
      <c r="O618" s="2">
        <v>10879.18</v>
      </c>
      <c r="P618" s="2">
        <v>2000</v>
      </c>
    </row>
    <row r="619" spans="1:16">
      <c r="A619" s="2" t="str">
        <f t="shared" si="260"/>
        <v>20160225</v>
      </c>
      <c r="B619" s="2" t="str">
        <f>"600219"</f>
        <v>600219</v>
      </c>
      <c r="C619" s="2" t="str">
        <f>"南山铝业"</f>
        <v>南山铝业</v>
      </c>
      <c r="D619" s="2" t="str">
        <f>"融资买入"</f>
        <v>融资买入</v>
      </c>
      <c r="E619" s="2">
        <v>7.06</v>
      </c>
      <c r="F619" s="2">
        <v>3000</v>
      </c>
      <c r="G619" s="2">
        <v>21180</v>
      </c>
      <c r="H619" s="2">
        <v>23.3</v>
      </c>
      <c r="I619" s="2">
        <v>21.85</v>
      </c>
      <c r="J619" s="2">
        <v>0</v>
      </c>
      <c r="K619" s="2">
        <v>0.42</v>
      </c>
      <c r="L619" s="2">
        <v>0</v>
      </c>
      <c r="M619" s="2">
        <v>0</v>
      </c>
      <c r="N619" s="2">
        <v>-21203.72</v>
      </c>
      <c r="O619" s="2">
        <v>-10324.54</v>
      </c>
      <c r="P619" s="2">
        <v>3000</v>
      </c>
    </row>
    <row r="620" spans="1:16">
      <c r="A620" s="2" t="str">
        <f t="shared" si="260"/>
        <v>20160225</v>
      </c>
      <c r="B620" s="2" t="str">
        <f t="shared" si="261"/>
        <v>600066</v>
      </c>
      <c r="C620" s="2" t="str">
        <f t="shared" si="262"/>
        <v>宇通客车</v>
      </c>
      <c r="D620" s="2" t="str">
        <f>"融资买入"</f>
        <v>融资买入</v>
      </c>
      <c r="E620" s="2">
        <v>19.79</v>
      </c>
      <c r="F620" s="2">
        <v>500</v>
      </c>
      <c r="G620" s="2">
        <v>9895</v>
      </c>
      <c r="H620" s="2">
        <v>10.88</v>
      </c>
      <c r="I620" s="2">
        <v>10.2</v>
      </c>
      <c r="J620" s="2">
        <v>0</v>
      </c>
      <c r="K620" s="2">
        <v>0.2</v>
      </c>
      <c r="L620" s="2">
        <v>0</v>
      </c>
      <c r="M620" s="2">
        <v>0</v>
      </c>
      <c r="N620" s="2">
        <v>-9906.08</v>
      </c>
      <c r="O620" s="2">
        <v>-20230.62</v>
      </c>
      <c r="P620" s="2">
        <v>2500</v>
      </c>
    </row>
    <row r="621" spans="1:16">
      <c r="A621" s="2" t="str">
        <f t="shared" si="260"/>
        <v>20160225</v>
      </c>
      <c r="B621" s="2" t="str">
        <f t="shared" si="261"/>
        <v>600066</v>
      </c>
      <c r="C621" s="2" t="str">
        <f t="shared" si="262"/>
        <v>宇通客车</v>
      </c>
      <c r="D621" s="2" t="str">
        <f t="shared" si="259"/>
        <v>担保品卖出</v>
      </c>
      <c r="E621" s="2">
        <v>19.66</v>
      </c>
      <c r="F621" s="2">
        <v>500</v>
      </c>
      <c r="G621" s="2">
        <v>9830</v>
      </c>
      <c r="H621" s="2">
        <v>5</v>
      </c>
      <c r="I621" s="2">
        <v>4.32</v>
      </c>
      <c r="J621" s="2">
        <v>9.83</v>
      </c>
      <c r="K621" s="2">
        <v>0.2</v>
      </c>
      <c r="L621" s="2">
        <v>0</v>
      </c>
      <c r="M621" s="2">
        <v>0</v>
      </c>
      <c r="N621" s="2">
        <v>9814.97</v>
      </c>
      <c r="O621" s="2">
        <v>-10415.65</v>
      </c>
      <c r="P621" s="2">
        <v>2000</v>
      </c>
    </row>
    <row r="622" spans="1:16">
      <c r="A622" s="2" t="str">
        <f t="shared" si="260"/>
        <v>20160225</v>
      </c>
      <c r="B622" s="2"/>
      <c r="C622" s="2"/>
      <c r="D622" s="2" t="str">
        <f>"融资借入"</f>
        <v>融资借入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9906.08</v>
      </c>
      <c r="O622" s="2">
        <v>-509.57</v>
      </c>
      <c r="P622" s="2">
        <v>0</v>
      </c>
    </row>
    <row r="623" spans="1:16">
      <c r="A623" s="2" t="str">
        <f t="shared" si="260"/>
        <v>20160225</v>
      </c>
      <c r="B623" s="2"/>
      <c r="C623" s="2"/>
      <c r="D623" s="2" t="str">
        <f>"融资借入"</f>
        <v>融资借入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21203.72</v>
      </c>
      <c r="O623" s="2">
        <v>20694.15</v>
      </c>
      <c r="P623" s="2">
        <v>0</v>
      </c>
    </row>
    <row r="624" spans="1:16">
      <c r="A624" s="2" t="str">
        <f t="shared" si="260"/>
        <v>20160225</v>
      </c>
      <c r="B624" s="2"/>
      <c r="C624" s="2"/>
      <c r="D624" s="2" t="str">
        <f t="shared" ref="D624:D627" si="263">"偿还融资负债本金"</f>
        <v>偿还融资负债本金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-2093.12</v>
      </c>
      <c r="O624" s="2">
        <v>18601.03</v>
      </c>
      <c r="P624" s="2">
        <v>0</v>
      </c>
    </row>
    <row r="625" spans="1:16">
      <c r="A625" s="2" t="str">
        <f t="shared" si="260"/>
        <v>20160225</v>
      </c>
      <c r="B625" s="2"/>
      <c r="C625" s="2"/>
      <c r="D625" s="2" t="str">
        <f t="shared" si="263"/>
        <v>偿还融资负债本金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-7801.93</v>
      </c>
      <c r="O625" s="2">
        <v>10799.1</v>
      </c>
      <c r="P625" s="2">
        <v>0</v>
      </c>
    </row>
    <row r="626" spans="1:16">
      <c r="A626" s="2" t="str">
        <f t="shared" si="260"/>
        <v>20160225</v>
      </c>
      <c r="B626" s="2"/>
      <c r="C626" s="2"/>
      <c r="D626" s="2" t="str">
        <f t="shared" si="263"/>
        <v>偿还融资负债本金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-1837.85</v>
      </c>
      <c r="O626" s="2">
        <v>8961.25</v>
      </c>
      <c r="P626" s="2">
        <v>0</v>
      </c>
    </row>
    <row r="627" spans="1:16">
      <c r="A627" s="2" t="str">
        <f t="shared" si="260"/>
        <v>20160225</v>
      </c>
      <c r="B627" s="2"/>
      <c r="C627" s="2"/>
      <c r="D627" s="2" t="str">
        <f t="shared" si="263"/>
        <v>偿还融资负债本金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-7952.63</v>
      </c>
      <c r="O627" s="2">
        <v>1008.62</v>
      </c>
      <c r="P627" s="2">
        <v>0</v>
      </c>
    </row>
    <row r="628" spans="1:16">
      <c r="A628" s="2" t="str">
        <f t="shared" si="260"/>
        <v>20160225</v>
      </c>
      <c r="B628" s="2"/>
      <c r="C628" s="2"/>
      <c r="D628" s="2" t="str">
        <f>"偿还融资利息"</f>
        <v>偿还融资利息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-246.89</v>
      </c>
      <c r="O628" s="2">
        <v>761.73</v>
      </c>
      <c r="P628" s="2">
        <v>0</v>
      </c>
    </row>
    <row r="629" spans="1:16">
      <c r="A629" s="2" t="str">
        <f t="shared" si="260"/>
        <v>20160225</v>
      </c>
      <c r="B629" s="2"/>
      <c r="C629" s="2"/>
      <c r="D629" s="2" t="str">
        <f>"偿还融资利息"</f>
        <v>偿还融资利息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-100.72</v>
      </c>
      <c r="O629" s="2">
        <v>661.01</v>
      </c>
      <c r="P629" s="2">
        <v>0</v>
      </c>
    </row>
    <row r="630" spans="1:16">
      <c r="A630" s="2" t="str">
        <f t="shared" ref="A630:A639" si="264">"20160226"</f>
        <v>20160226</v>
      </c>
      <c r="B630" s="2" t="str">
        <f>"600066"</f>
        <v>600066</v>
      </c>
      <c r="C630" s="2" t="str">
        <f>"宇通客车"</f>
        <v>宇通客车</v>
      </c>
      <c r="D630" s="2" t="str">
        <f>"融资买入"</f>
        <v>融资买入</v>
      </c>
      <c r="E630" s="2">
        <v>19.22</v>
      </c>
      <c r="F630" s="2">
        <v>500</v>
      </c>
      <c r="G630" s="2">
        <v>9610</v>
      </c>
      <c r="H630" s="2">
        <v>10.57</v>
      </c>
      <c r="I630" s="2">
        <v>9.91</v>
      </c>
      <c r="J630" s="2">
        <v>0</v>
      </c>
      <c r="K630" s="2">
        <v>0.19</v>
      </c>
      <c r="L630" s="2">
        <v>0</v>
      </c>
      <c r="M630" s="2">
        <v>0</v>
      </c>
      <c r="N630" s="2">
        <v>-9620.76</v>
      </c>
      <c r="O630" s="2">
        <v>-8959.75</v>
      </c>
      <c r="P630" s="2">
        <v>2500</v>
      </c>
    </row>
    <row r="631" spans="1:16">
      <c r="A631" s="2" t="str">
        <f t="shared" si="264"/>
        <v>20160226</v>
      </c>
      <c r="B631" s="2" t="str">
        <f>"600219"</f>
        <v>600219</v>
      </c>
      <c r="C631" s="2" t="str">
        <f>"南山铝业"</f>
        <v>南山铝业</v>
      </c>
      <c r="D631" s="2" t="str">
        <f>"担保品卖出"</f>
        <v>担保品卖出</v>
      </c>
      <c r="E631" s="2">
        <v>6.52</v>
      </c>
      <c r="F631" s="2">
        <v>3000</v>
      </c>
      <c r="G631" s="2">
        <v>19560</v>
      </c>
      <c r="H631" s="2">
        <v>6.06</v>
      </c>
      <c r="I631" s="2">
        <v>4.72</v>
      </c>
      <c r="J631" s="2">
        <v>19.56</v>
      </c>
      <c r="K631" s="2">
        <v>0.39</v>
      </c>
      <c r="L631" s="2">
        <v>0</v>
      </c>
      <c r="M631" s="2">
        <v>0</v>
      </c>
      <c r="N631" s="2">
        <v>19533.99</v>
      </c>
      <c r="O631" s="2">
        <v>10574.24</v>
      </c>
      <c r="P631" s="2">
        <v>0</v>
      </c>
    </row>
    <row r="632" spans="1:16">
      <c r="A632" s="2" t="str">
        <f t="shared" si="264"/>
        <v>20160226</v>
      </c>
      <c r="B632" s="2" t="str">
        <f>"600066"</f>
        <v>600066</v>
      </c>
      <c r="C632" s="2" t="str">
        <f>"宇通客车"</f>
        <v>宇通客车</v>
      </c>
      <c r="D632" s="2" t="str">
        <f>"担保品卖出"</f>
        <v>担保品卖出</v>
      </c>
      <c r="E632" s="2">
        <v>18.92</v>
      </c>
      <c r="F632" s="2">
        <v>500</v>
      </c>
      <c r="G632" s="2">
        <v>9460</v>
      </c>
      <c r="H632" s="2">
        <v>5</v>
      </c>
      <c r="I632" s="2">
        <v>4.35</v>
      </c>
      <c r="J632" s="2">
        <v>9.46</v>
      </c>
      <c r="K632" s="2">
        <v>0.19</v>
      </c>
      <c r="L632" s="2">
        <v>0</v>
      </c>
      <c r="M632" s="2">
        <v>0</v>
      </c>
      <c r="N632" s="2">
        <v>9445.35</v>
      </c>
      <c r="O632" s="2">
        <v>20019.59</v>
      </c>
      <c r="P632" s="2">
        <v>2000</v>
      </c>
    </row>
    <row r="633" spans="1:16">
      <c r="A633" s="2" t="str">
        <f t="shared" si="264"/>
        <v>20160226</v>
      </c>
      <c r="B633" s="2" t="str">
        <f>"600219"</f>
        <v>600219</v>
      </c>
      <c r="C633" s="2" t="str">
        <f>"南山铝业"</f>
        <v>南山铝业</v>
      </c>
      <c r="D633" s="2" t="str">
        <f>"融资买入"</f>
        <v>融资买入</v>
      </c>
      <c r="E633" s="2">
        <v>6.62</v>
      </c>
      <c r="F633" s="2">
        <v>3000</v>
      </c>
      <c r="G633" s="2">
        <v>19860</v>
      </c>
      <c r="H633" s="2">
        <v>21.85</v>
      </c>
      <c r="I633" s="2">
        <v>20.48</v>
      </c>
      <c r="J633" s="2">
        <v>0</v>
      </c>
      <c r="K633" s="2">
        <v>0.4</v>
      </c>
      <c r="L633" s="2">
        <v>0</v>
      </c>
      <c r="M633" s="2">
        <v>0</v>
      </c>
      <c r="N633" s="2">
        <v>-19882.25</v>
      </c>
      <c r="O633" s="2">
        <v>137.34</v>
      </c>
      <c r="P633" s="2">
        <v>3000</v>
      </c>
    </row>
    <row r="634" spans="1:16">
      <c r="A634" s="2" t="str">
        <f t="shared" si="264"/>
        <v>20160226</v>
      </c>
      <c r="B634" s="2"/>
      <c r="C634" s="2"/>
      <c r="D634" s="2" t="str">
        <f>"融资借入"</f>
        <v>融资借入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9620.76</v>
      </c>
      <c r="O634" s="2">
        <v>9758.1</v>
      </c>
      <c r="P634" s="2">
        <v>0</v>
      </c>
    </row>
    <row r="635" spans="1:16">
      <c r="A635" s="2" t="str">
        <f t="shared" si="264"/>
        <v>20160226</v>
      </c>
      <c r="B635" s="2"/>
      <c r="C635" s="2"/>
      <c r="D635" s="2" t="str">
        <f>"融资借入"</f>
        <v>融资借入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19882.25</v>
      </c>
      <c r="O635" s="2">
        <v>29640.35</v>
      </c>
      <c r="P635" s="2">
        <v>0</v>
      </c>
    </row>
    <row r="636" spans="1:16">
      <c r="A636" s="2" t="str">
        <f t="shared" si="264"/>
        <v>20160226</v>
      </c>
      <c r="B636" s="2"/>
      <c r="C636" s="2"/>
      <c r="D636" s="2" t="str">
        <f t="shared" ref="D636:D638" si="265">"偿还融资负债本金"</f>
        <v>偿还融资负债本金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-19481.37</v>
      </c>
      <c r="O636" s="2">
        <v>10158.98</v>
      </c>
      <c r="P636" s="2">
        <v>0</v>
      </c>
    </row>
    <row r="637" spans="1:16">
      <c r="A637" s="2" t="str">
        <f t="shared" si="264"/>
        <v>20160226</v>
      </c>
      <c r="B637" s="2"/>
      <c r="C637" s="2"/>
      <c r="D637" s="2" t="str">
        <f t="shared" si="265"/>
        <v>偿还融资负债本金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-1708.18</v>
      </c>
      <c r="O637" s="2">
        <v>8450.8</v>
      </c>
      <c r="P637" s="2">
        <v>0</v>
      </c>
    </row>
    <row r="638" spans="1:16">
      <c r="A638" s="2" t="str">
        <f t="shared" si="264"/>
        <v>20160226</v>
      </c>
      <c r="B638" s="2"/>
      <c r="C638" s="2"/>
      <c r="D638" s="2" t="str">
        <f t="shared" si="265"/>
        <v>偿还融资负债本金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-7713.79</v>
      </c>
      <c r="O638" s="2">
        <v>737.01</v>
      </c>
      <c r="P638" s="2">
        <v>0</v>
      </c>
    </row>
    <row r="639" spans="1:16">
      <c r="A639" s="2" t="str">
        <f t="shared" si="264"/>
        <v>20160226</v>
      </c>
      <c r="B639" s="2"/>
      <c r="C639" s="2"/>
      <c r="D639" s="2" t="str">
        <f>"偿还融资利息"</f>
        <v>偿还融资利息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-13.84</v>
      </c>
      <c r="O639" s="2">
        <v>723.17</v>
      </c>
      <c r="P639" s="2">
        <v>0</v>
      </c>
    </row>
    <row r="640" spans="1:16">
      <c r="A640" s="2" t="str">
        <f t="shared" ref="A640:A653" si="266">"20160301"</f>
        <v>20160301</v>
      </c>
      <c r="B640" s="2" t="str">
        <f>"600219"</f>
        <v>600219</v>
      </c>
      <c r="C640" s="2" t="str">
        <f>"南山铝业"</f>
        <v>南山铝业</v>
      </c>
      <c r="D640" s="2" t="str">
        <f>"担保品卖出"</f>
        <v>担保品卖出</v>
      </c>
      <c r="E640" s="2">
        <v>6.802</v>
      </c>
      <c r="F640" s="2">
        <v>3000</v>
      </c>
      <c r="G640" s="2">
        <v>20405</v>
      </c>
      <c r="H640" s="2">
        <v>6.33</v>
      </c>
      <c r="I640" s="2">
        <v>4.92</v>
      </c>
      <c r="J640" s="2">
        <v>20.4</v>
      </c>
      <c r="K640" s="2">
        <v>0.41</v>
      </c>
      <c r="L640" s="2">
        <v>0</v>
      </c>
      <c r="M640" s="2">
        <v>0</v>
      </c>
      <c r="N640" s="2">
        <v>20377.86</v>
      </c>
      <c r="O640" s="2">
        <v>21101.03</v>
      </c>
      <c r="P640" s="2">
        <v>0</v>
      </c>
    </row>
    <row r="641" spans="1:16">
      <c r="A641" s="2" t="str">
        <f t="shared" si="266"/>
        <v>20160301</v>
      </c>
      <c r="B641" s="2" t="str">
        <f t="shared" ref="B641:B643" si="267">"600066"</f>
        <v>600066</v>
      </c>
      <c r="C641" s="2" t="str">
        <f t="shared" ref="C641:C643" si="268">"宇通客车"</f>
        <v>宇通客车</v>
      </c>
      <c r="D641" s="2" t="str">
        <f>"融资买入"</f>
        <v>融资买入</v>
      </c>
      <c r="E641" s="2">
        <v>18.65</v>
      </c>
      <c r="F641" s="2">
        <v>1000</v>
      </c>
      <c r="G641" s="2">
        <v>18650</v>
      </c>
      <c r="H641" s="2">
        <v>20.52</v>
      </c>
      <c r="I641" s="2">
        <v>19.24</v>
      </c>
      <c r="J641" s="2">
        <v>0</v>
      </c>
      <c r="K641" s="2">
        <v>0.37</v>
      </c>
      <c r="L641" s="2">
        <v>0</v>
      </c>
      <c r="M641" s="2">
        <v>0</v>
      </c>
      <c r="N641" s="2">
        <v>-18670.89</v>
      </c>
      <c r="O641" s="2">
        <v>2430.14</v>
      </c>
      <c r="P641" s="2">
        <v>3000</v>
      </c>
    </row>
    <row r="642" spans="1:16">
      <c r="A642" s="2" t="str">
        <f t="shared" si="266"/>
        <v>20160301</v>
      </c>
      <c r="B642" s="2" t="str">
        <f t="shared" si="267"/>
        <v>600066</v>
      </c>
      <c r="C642" s="2" t="str">
        <f t="shared" si="268"/>
        <v>宇通客车</v>
      </c>
      <c r="D642" s="2" t="str">
        <f>"担保品卖出"</f>
        <v>担保品卖出</v>
      </c>
      <c r="E642" s="2">
        <v>18.37</v>
      </c>
      <c r="F642" s="2">
        <v>1000</v>
      </c>
      <c r="G642" s="2">
        <v>18370</v>
      </c>
      <c r="H642" s="2">
        <v>5.69</v>
      </c>
      <c r="I642" s="2">
        <v>4.42</v>
      </c>
      <c r="J642" s="2">
        <v>18.37</v>
      </c>
      <c r="K642" s="2">
        <v>0.37</v>
      </c>
      <c r="L642" s="2">
        <v>0</v>
      </c>
      <c r="M642" s="2">
        <v>0</v>
      </c>
      <c r="N642" s="2">
        <v>18345.57</v>
      </c>
      <c r="O642" s="2">
        <v>20775.71</v>
      </c>
      <c r="P642" s="2">
        <v>2000</v>
      </c>
    </row>
    <row r="643" spans="1:16">
      <c r="A643" s="2" t="str">
        <f t="shared" si="266"/>
        <v>20160301</v>
      </c>
      <c r="B643" s="2" t="str">
        <f t="shared" si="267"/>
        <v>600066</v>
      </c>
      <c r="C643" s="2" t="str">
        <f t="shared" si="268"/>
        <v>宇通客车</v>
      </c>
      <c r="D643" s="2" t="str">
        <f>"融资买入"</f>
        <v>融资买入</v>
      </c>
      <c r="E643" s="2">
        <v>18.37</v>
      </c>
      <c r="F643" s="2">
        <v>1000</v>
      </c>
      <c r="G643" s="2">
        <v>18370</v>
      </c>
      <c r="H643" s="2">
        <v>20.21</v>
      </c>
      <c r="I643" s="2">
        <v>18.93</v>
      </c>
      <c r="J643" s="2">
        <v>0</v>
      </c>
      <c r="K643" s="2">
        <v>0.37</v>
      </c>
      <c r="L643" s="2">
        <v>0</v>
      </c>
      <c r="M643" s="2">
        <v>0</v>
      </c>
      <c r="N643" s="2">
        <v>-18390.58</v>
      </c>
      <c r="O643" s="2">
        <v>2385.13</v>
      </c>
      <c r="P643" s="2">
        <v>3000</v>
      </c>
    </row>
    <row r="644" spans="1:16">
      <c r="A644" s="2" t="str">
        <f t="shared" si="266"/>
        <v>20160301</v>
      </c>
      <c r="B644" s="2"/>
      <c r="C644" s="2"/>
      <c r="D644" s="2" t="str">
        <f>"融资借入"</f>
        <v>融资借入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18670.89</v>
      </c>
      <c r="O644" s="2">
        <v>21056.02</v>
      </c>
      <c r="P644" s="2">
        <v>0</v>
      </c>
    </row>
    <row r="645" spans="1:16">
      <c r="A645" s="2" t="str">
        <f t="shared" si="266"/>
        <v>20160301</v>
      </c>
      <c r="B645" s="2"/>
      <c r="C645" s="2"/>
      <c r="D645" s="2" t="str">
        <f>"融资借入"</f>
        <v>融资借入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18390.58</v>
      </c>
      <c r="O645" s="2">
        <v>39446.6</v>
      </c>
      <c r="P645" s="2">
        <v>0</v>
      </c>
    </row>
    <row r="646" spans="1:16">
      <c r="A646" s="2" t="str">
        <f t="shared" si="266"/>
        <v>20160301</v>
      </c>
      <c r="B646" s="2"/>
      <c r="C646" s="2"/>
      <c r="D646" s="2" t="str">
        <f t="shared" ref="D646:D650" si="269">"偿还融资负债本金"</f>
        <v>偿还融资负债本金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-1722.35</v>
      </c>
      <c r="O646" s="2">
        <v>37724.25</v>
      </c>
      <c r="P646" s="2">
        <v>0</v>
      </c>
    </row>
    <row r="647" spans="1:16">
      <c r="A647" s="2" t="str">
        <f t="shared" si="266"/>
        <v>20160301</v>
      </c>
      <c r="B647" s="2"/>
      <c r="C647" s="2"/>
      <c r="D647" s="2" t="str">
        <f t="shared" si="269"/>
        <v>偿还融资负债本金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-18600.61</v>
      </c>
      <c r="O647" s="2">
        <v>19123.64</v>
      </c>
      <c r="P647" s="2">
        <v>0</v>
      </c>
    </row>
    <row r="648" spans="1:16">
      <c r="A648" s="2" t="str">
        <f t="shared" si="266"/>
        <v>20160301</v>
      </c>
      <c r="B648" s="2"/>
      <c r="C648" s="2"/>
      <c r="D648" s="2" t="str">
        <f t="shared" si="269"/>
        <v>偿还融资负债本金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-1876.94</v>
      </c>
      <c r="O648" s="2">
        <v>17246.7</v>
      </c>
      <c r="P648" s="2">
        <v>0</v>
      </c>
    </row>
    <row r="649" spans="1:16">
      <c r="A649" s="2" t="str">
        <f t="shared" si="266"/>
        <v>20160301</v>
      </c>
      <c r="B649" s="2"/>
      <c r="C649" s="2"/>
      <c r="D649" s="2" t="str">
        <f t="shared" si="269"/>
        <v>偿还融资负债本金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-9906.08</v>
      </c>
      <c r="O649" s="2">
        <v>7340.62</v>
      </c>
      <c r="P649" s="2">
        <v>0</v>
      </c>
    </row>
    <row r="650" spans="1:16">
      <c r="A650" s="2" t="str">
        <f t="shared" si="266"/>
        <v>20160301</v>
      </c>
      <c r="B650" s="2"/>
      <c r="C650" s="2"/>
      <c r="D650" s="2" t="str">
        <f t="shared" si="269"/>
        <v>偿还融资负债本金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-6513.13</v>
      </c>
      <c r="O650" s="2">
        <v>827.49</v>
      </c>
      <c r="P650" s="2">
        <v>0</v>
      </c>
    </row>
    <row r="651" spans="1:16">
      <c r="A651" s="2" t="str">
        <f t="shared" si="266"/>
        <v>20160301</v>
      </c>
      <c r="B651" s="2"/>
      <c r="C651" s="2"/>
      <c r="D651" s="2" t="str">
        <f t="shared" ref="D651:D653" si="270">"偿还融资利息"</f>
        <v>偿还融资利息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-8.41</v>
      </c>
      <c r="O651" s="2">
        <v>819.08</v>
      </c>
      <c r="P651" s="2">
        <v>0</v>
      </c>
    </row>
    <row r="652" spans="1:16">
      <c r="A652" s="2" t="str">
        <f t="shared" si="266"/>
        <v>20160301</v>
      </c>
      <c r="B652" s="2"/>
      <c r="C652" s="2"/>
      <c r="D652" s="2" t="str">
        <f t="shared" si="270"/>
        <v>偿还融资利息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-6.52</v>
      </c>
      <c r="O652" s="2">
        <v>812.56</v>
      </c>
      <c r="P652" s="2">
        <v>0</v>
      </c>
    </row>
    <row r="653" spans="1:16">
      <c r="A653" s="2" t="str">
        <f t="shared" si="266"/>
        <v>20160301</v>
      </c>
      <c r="B653" s="2"/>
      <c r="C653" s="2"/>
      <c r="D653" s="2" t="str">
        <f t="shared" si="270"/>
        <v>偿还融资利息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-11.5</v>
      </c>
      <c r="O653" s="2">
        <v>801.06</v>
      </c>
      <c r="P653" s="2">
        <v>0</v>
      </c>
    </row>
    <row r="654" spans="1:16">
      <c r="A654" s="2" t="str">
        <f t="shared" ref="A654:A657" si="271">"20160303"</f>
        <v>20160303</v>
      </c>
      <c r="B654" s="2" t="str">
        <f>"600066"</f>
        <v>600066</v>
      </c>
      <c r="C654" s="2" t="str">
        <f>"宇通客车"</f>
        <v>宇通客车</v>
      </c>
      <c r="D654" s="2" t="str">
        <f>"担保品卖出"</f>
        <v>担保品卖出</v>
      </c>
      <c r="E654" s="2">
        <v>19.47</v>
      </c>
      <c r="F654" s="2">
        <v>1000</v>
      </c>
      <c r="G654" s="2">
        <v>19470</v>
      </c>
      <c r="H654" s="2">
        <v>6.04</v>
      </c>
      <c r="I654" s="2">
        <v>4.7</v>
      </c>
      <c r="J654" s="2">
        <v>19.47</v>
      </c>
      <c r="K654" s="2">
        <v>0.39</v>
      </c>
      <c r="L654" s="2">
        <v>0</v>
      </c>
      <c r="M654" s="2">
        <v>0</v>
      </c>
      <c r="N654" s="2">
        <v>19444.1</v>
      </c>
      <c r="O654" s="2">
        <v>20245.16</v>
      </c>
      <c r="P654" s="2">
        <v>2000</v>
      </c>
    </row>
    <row r="655" spans="1:16">
      <c r="A655" s="2" t="str">
        <f t="shared" si="271"/>
        <v>20160303</v>
      </c>
      <c r="B655" s="2"/>
      <c r="C655" s="2"/>
      <c r="D655" s="2" t="str">
        <f>"偿还融资负债本金"</f>
        <v>偿还融资负债本金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-3107.63</v>
      </c>
      <c r="O655" s="2">
        <v>17137.53</v>
      </c>
      <c r="P655" s="2">
        <v>0</v>
      </c>
    </row>
    <row r="656" spans="1:16">
      <c r="A656" s="2" t="str">
        <f t="shared" si="271"/>
        <v>20160303</v>
      </c>
      <c r="B656" s="2"/>
      <c r="C656" s="2"/>
      <c r="D656" s="2" t="str">
        <f>"偿还融资负债本金"</f>
        <v>偿还融资负债本金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-16284.1</v>
      </c>
      <c r="O656" s="2">
        <v>853.43</v>
      </c>
      <c r="P656" s="2">
        <v>0</v>
      </c>
    </row>
    <row r="657" spans="1:16">
      <c r="A657" s="2" t="str">
        <f t="shared" si="271"/>
        <v>20160303</v>
      </c>
      <c r="B657" s="2"/>
      <c r="C657" s="2"/>
      <c r="D657" s="2" t="str">
        <f>"偿还融资利息"</f>
        <v>偿还融资利息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-10.36</v>
      </c>
      <c r="O657" s="2">
        <v>843.07</v>
      </c>
      <c r="P657" s="2">
        <v>0</v>
      </c>
    </row>
    <row r="658" spans="1:16">
      <c r="A658" s="2" t="str">
        <f t="shared" ref="A658:A667" si="272">"20160304"</f>
        <v>20160304</v>
      </c>
      <c r="B658" s="2" t="str">
        <f>"600886"</f>
        <v>600886</v>
      </c>
      <c r="C658" s="2" t="str">
        <f>"国投电力"</f>
        <v>国投电力</v>
      </c>
      <c r="D658" s="2" t="str">
        <f>"担保品卖出"</f>
        <v>担保品卖出</v>
      </c>
      <c r="E658" s="2">
        <v>6.51</v>
      </c>
      <c r="F658" s="2">
        <v>2000</v>
      </c>
      <c r="G658" s="2">
        <v>13020</v>
      </c>
      <c r="H658" s="2">
        <v>5</v>
      </c>
      <c r="I658" s="2">
        <v>4.11</v>
      </c>
      <c r="J658" s="2">
        <v>13.02</v>
      </c>
      <c r="K658" s="2">
        <v>0.26</v>
      </c>
      <c r="L658" s="2">
        <v>0</v>
      </c>
      <c r="M658" s="2">
        <v>0</v>
      </c>
      <c r="N658" s="2">
        <v>13001.72</v>
      </c>
      <c r="O658" s="2">
        <v>13844.79</v>
      </c>
      <c r="P658" s="2">
        <v>17000</v>
      </c>
    </row>
    <row r="659" spans="1:16">
      <c r="A659" s="2" t="str">
        <f t="shared" si="272"/>
        <v>20160304</v>
      </c>
      <c r="B659" s="2" t="str">
        <f>"600066"</f>
        <v>600066</v>
      </c>
      <c r="C659" s="2" t="str">
        <f>"宇通客车"</f>
        <v>宇通客车</v>
      </c>
      <c r="D659" s="2" t="str">
        <f>"融资买入"</f>
        <v>融资买入</v>
      </c>
      <c r="E659" s="2">
        <v>19.54</v>
      </c>
      <c r="F659" s="2">
        <v>1000</v>
      </c>
      <c r="G659" s="2">
        <v>19540</v>
      </c>
      <c r="H659" s="2">
        <v>21.49</v>
      </c>
      <c r="I659" s="2">
        <v>20.15</v>
      </c>
      <c r="J659" s="2">
        <v>0</v>
      </c>
      <c r="K659" s="2">
        <v>0.39</v>
      </c>
      <c r="L659" s="2">
        <v>0</v>
      </c>
      <c r="M659" s="2">
        <v>0</v>
      </c>
      <c r="N659" s="2">
        <v>-19561.88</v>
      </c>
      <c r="O659" s="2">
        <v>-5717.09</v>
      </c>
      <c r="P659" s="2">
        <v>3000</v>
      </c>
    </row>
    <row r="660" spans="1:16">
      <c r="A660" s="2" t="str">
        <f t="shared" si="272"/>
        <v>20160304</v>
      </c>
      <c r="B660" s="2" t="str">
        <f>"600066"</f>
        <v>600066</v>
      </c>
      <c r="C660" s="2" t="str">
        <f>"宇通客车"</f>
        <v>宇通客车</v>
      </c>
      <c r="D660" s="2" t="str">
        <f>"担保品卖出"</f>
        <v>担保品卖出</v>
      </c>
      <c r="E660" s="2">
        <v>19.51</v>
      </c>
      <c r="F660" s="2">
        <v>1000</v>
      </c>
      <c r="G660" s="2">
        <v>19510</v>
      </c>
      <c r="H660" s="2">
        <v>6.05</v>
      </c>
      <c r="I660" s="2">
        <v>4.71</v>
      </c>
      <c r="J660" s="2">
        <v>19.51</v>
      </c>
      <c r="K660" s="2">
        <v>0.39</v>
      </c>
      <c r="L660" s="2">
        <v>0</v>
      </c>
      <c r="M660" s="2">
        <v>0</v>
      </c>
      <c r="N660" s="2">
        <v>19484.05</v>
      </c>
      <c r="O660" s="2">
        <v>13766.96</v>
      </c>
      <c r="P660" s="2">
        <v>2000</v>
      </c>
    </row>
    <row r="661" spans="1:16">
      <c r="A661" s="2" t="str">
        <f t="shared" si="272"/>
        <v>20160304</v>
      </c>
      <c r="B661" s="2"/>
      <c r="C661" s="2"/>
      <c r="D661" s="2" t="str">
        <f>"融资借入"</f>
        <v>融资借入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19561.88</v>
      </c>
      <c r="O661" s="2">
        <v>33328.84</v>
      </c>
      <c r="P661" s="2">
        <v>0</v>
      </c>
    </row>
    <row r="662" spans="1:16">
      <c r="A662" s="2" t="str">
        <f t="shared" si="272"/>
        <v>20160304</v>
      </c>
      <c r="B662" s="2"/>
      <c r="C662" s="2"/>
      <c r="D662" s="2" t="str">
        <f t="shared" ref="D662:D665" si="273">"偿还融资负债本金"</f>
        <v>偿还融资负债本金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-3633.68</v>
      </c>
      <c r="O662" s="2">
        <v>29695.16</v>
      </c>
      <c r="P662" s="2">
        <v>0</v>
      </c>
    </row>
    <row r="663" spans="1:16">
      <c r="A663" s="2" t="str">
        <f t="shared" si="272"/>
        <v>20160304</v>
      </c>
      <c r="B663" s="2"/>
      <c r="C663" s="2"/>
      <c r="D663" s="2" t="str">
        <f t="shared" si="273"/>
        <v>偿还融资负债本金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-9333.98</v>
      </c>
      <c r="O663" s="2">
        <v>20361.18</v>
      </c>
      <c r="P663" s="2">
        <v>0</v>
      </c>
    </row>
    <row r="664" spans="1:16">
      <c r="A664" s="2" t="str">
        <f t="shared" si="272"/>
        <v>20160304</v>
      </c>
      <c r="B664" s="2"/>
      <c r="C664" s="2"/>
      <c r="D664" s="2" t="str">
        <f t="shared" si="273"/>
        <v>偿还融资负债本金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-2386.79</v>
      </c>
      <c r="O664" s="2">
        <v>17974.39</v>
      </c>
      <c r="P664" s="2">
        <v>0</v>
      </c>
    </row>
    <row r="665" spans="1:16">
      <c r="A665" s="2" t="str">
        <f t="shared" si="272"/>
        <v>20160304</v>
      </c>
      <c r="B665" s="2"/>
      <c r="C665" s="2"/>
      <c r="D665" s="2" t="str">
        <f t="shared" si="273"/>
        <v>偿还融资负债本金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-17044.78</v>
      </c>
      <c r="O665" s="2">
        <v>929.61</v>
      </c>
      <c r="P665" s="2">
        <v>0</v>
      </c>
    </row>
    <row r="666" spans="1:16">
      <c r="A666" s="2" t="str">
        <f t="shared" si="272"/>
        <v>20160304</v>
      </c>
      <c r="B666" s="2"/>
      <c r="C666" s="2"/>
      <c r="D666" s="2" t="str">
        <f>"偿还融资利息"</f>
        <v>偿还融资利息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-23.57</v>
      </c>
      <c r="O666" s="2">
        <v>906.04</v>
      </c>
      <c r="P666" s="2">
        <v>0</v>
      </c>
    </row>
    <row r="667" spans="1:16">
      <c r="A667" s="2" t="str">
        <f t="shared" si="272"/>
        <v>20160304</v>
      </c>
      <c r="B667" s="2"/>
      <c r="C667" s="2"/>
      <c r="D667" s="2" t="str">
        <f>"偿还融资利息"</f>
        <v>偿还融资利息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-9.21</v>
      </c>
      <c r="O667" s="2">
        <v>896.83</v>
      </c>
      <c r="P667" s="2">
        <v>0</v>
      </c>
    </row>
    <row r="668" spans="1:19">
      <c r="A668" s="2" t="str">
        <f>"20160321"</f>
        <v>20160321</v>
      </c>
      <c r="B668" s="2"/>
      <c r="C668" s="2"/>
      <c r="D668" s="2" t="str">
        <f>"利息归本"</f>
        <v>利息归本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7.7</v>
      </c>
      <c r="O668" s="2">
        <v>904.53</v>
      </c>
      <c r="P668" s="2">
        <v>0</v>
      </c>
      <c r="Q668" s="2"/>
      <c r="R668" s="2"/>
      <c r="S668" s="2"/>
    </row>
    <row r="669" spans="1:19">
      <c r="A669" s="2" t="str">
        <f>"20160325"</f>
        <v>20160325</v>
      </c>
      <c r="B669" s="2" t="str">
        <f t="shared" ref="B669:B674" si="274">"000667"</f>
        <v>000667</v>
      </c>
      <c r="C669" s="2" t="str">
        <f t="shared" ref="C669:C674" si="275">"美好集团"</f>
        <v>美好集团</v>
      </c>
      <c r="D669" s="2" t="str">
        <f>"融资买入"</f>
        <v>融资买入</v>
      </c>
      <c r="E669" s="2">
        <v>4.04</v>
      </c>
      <c r="F669" s="2">
        <v>3000</v>
      </c>
      <c r="G669" s="2">
        <v>12120</v>
      </c>
      <c r="H669" s="2">
        <v>13.33</v>
      </c>
      <c r="I669" s="2">
        <v>12.26</v>
      </c>
      <c r="J669" s="2">
        <v>0</v>
      </c>
      <c r="K669" s="2">
        <v>0</v>
      </c>
      <c r="L669" s="2">
        <v>0</v>
      </c>
      <c r="M669" s="2">
        <v>0</v>
      </c>
      <c r="N669" s="2">
        <v>-12133.33</v>
      </c>
      <c r="O669" s="2">
        <v>-11228.8</v>
      </c>
      <c r="P669" s="2">
        <v>10000</v>
      </c>
      <c r="Q669" s="2"/>
      <c r="R669" s="2"/>
      <c r="S669" s="2"/>
    </row>
    <row r="670" spans="1:19">
      <c r="A670" s="2" t="str">
        <f>"20160325"</f>
        <v>20160325</v>
      </c>
      <c r="B670" s="2"/>
      <c r="C670" s="2"/>
      <c r="D670" s="2" t="str">
        <f>"融资借入"</f>
        <v>融资借入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12133.33</v>
      </c>
      <c r="O670" s="2">
        <v>904.53</v>
      </c>
      <c r="P670" s="2">
        <v>0</v>
      </c>
      <c r="Q670" s="2"/>
      <c r="R670" s="2"/>
      <c r="S670" s="2"/>
    </row>
    <row r="671" spans="1:16">
      <c r="A671" s="2" t="str">
        <f>"20160401"</f>
        <v>20160401</v>
      </c>
      <c r="B671" s="2" t="str">
        <f t="shared" si="274"/>
        <v>000667</v>
      </c>
      <c r="C671" s="2" t="str">
        <f t="shared" si="275"/>
        <v>美好集团</v>
      </c>
      <c r="D671" s="2" t="str">
        <f>"红利入账"</f>
        <v>红利入账</v>
      </c>
      <c r="E671" s="2">
        <v>0</v>
      </c>
      <c r="F671" s="2">
        <v>0</v>
      </c>
      <c r="G671" s="2">
        <v>250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250</v>
      </c>
      <c r="O671" s="2">
        <v>1154.53</v>
      </c>
      <c r="P671" s="2">
        <v>0</v>
      </c>
    </row>
    <row r="672" spans="1:16">
      <c r="A672" s="2" t="str">
        <f>"20160413"</f>
        <v>20160413</v>
      </c>
      <c r="B672" s="2" t="str">
        <f>"600886"</f>
        <v>600886</v>
      </c>
      <c r="C672" s="2" t="str">
        <f>"国投电力"</f>
        <v>国投电力</v>
      </c>
      <c r="D672" s="2" t="str">
        <f>"融资买入"</f>
        <v>融资买入</v>
      </c>
      <c r="E672" s="2">
        <v>6.84</v>
      </c>
      <c r="F672" s="2">
        <v>2000</v>
      </c>
      <c r="G672" s="2">
        <v>13680</v>
      </c>
      <c r="H672" s="2">
        <v>15.05</v>
      </c>
      <c r="I672" s="2">
        <v>14.12</v>
      </c>
      <c r="J672" s="2">
        <v>0</v>
      </c>
      <c r="K672" s="2">
        <v>0.27</v>
      </c>
      <c r="L672" s="2">
        <v>0</v>
      </c>
      <c r="M672" s="2">
        <v>0</v>
      </c>
      <c r="N672" s="2">
        <v>-13695.32</v>
      </c>
      <c r="O672" s="2">
        <v>-12540.79</v>
      </c>
      <c r="P672" s="2">
        <v>19000</v>
      </c>
    </row>
    <row r="673" spans="1:16">
      <c r="A673" s="2" t="str">
        <f>"20160413"</f>
        <v>20160413</v>
      </c>
      <c r="B673" s="2"/>
      <c r="C673" s="2"/>
      <c r="D673" s="2" t="str">
        <f>"融资借入"</f>
        <v>融资借入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13695.32</v>
      </c>
      <c r="O673" s="2">
        <v>1154.53</v>
      </c>
      <c r="P673" s="2">
        <v>0</v>
      </c>
    </row>
    <row r="674" spans="1:16">
      <c r="A674" s="2" t="str">
        <f t="shared" ref="A674:A676" si="276">"20160415"</f>
        <v>20160415</v>
      </c>
      <c r="B674" s="2" t="str">
        <f t="shared" si="274"/>
        <v>000667</v>
      </c>
      <c r="C674" s="2" t="str">
        <f t="shared" si="275"/>
        <v>美好集团</v>
      </c>
      <c r="D674" s="2" t="str">
        <f>"担保品卖出"</f>
        <v>担保品卖出</v>
      </c>
      <c r="E674" s="2">
        <v>4.12</v>
      </c>
      <c r="F674" s="2">
        <v>3000</v>
      </c>
      <c r="G674" s="2">
        <v>12360</v>
      </c>
      <c r="H674" s="2">
        <v>5</v>
      </c>
      <c r="I674" s="2">
        <v>3.9</v>
      </c>
      <c r="J674" s="2">
        <v>12.36</v>
      </c>
      <c r="K674" s="2">
        <v>0</v>
      </c>
      <c r="L674" s="2">
        <v>0</v>
      </c>
      <c r="M674" s="2">
        <v>0</v>
      </c>
      <c r="N674" s="2">
        <v>12342.64</v>
      </c>
      <c r="O674" s="2">
        <v>13497.17</v>
      </c>
      <c r="P674" s="2">
        <v>7000</v>
      </c>
    </row>
    <row r="675" spans="1:16">
      <c r="A675" s="2" t="str">
        <f t="shared" si="276"/>
        <v>20160415</v>
      </c>
      <c r="B675" s="2"/>
      <c r="C675" s="2"/>
      <c r="D675" s="2" t="str">
        <f>"偿还融资负债本金"</f>
        <v>偿还融资负债本金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-12133.33</v>
      </c>
      <c r="O675" s="2">
        <v>1363.84</v>
      </c>
      <c r="P675" s="2">
        <v>0</v>
      </c>
    </row>
    <row r="676" spans="1:16">
      <c r="A676" s="2" t="str">
        <f t="shared" si="276"/>
        <v>20160415</v>
      </c>
      <c r="B676" s="2"/>
      <c r="C676" s="2"/>
      <c r="D676" s="2" t="str">
        <f>"偿还融资利息"</f>
        <v>偿还融资利息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-59.04</v>
      </c>
      <c r="O676" s="2">
        <v>1304.8</v>
      </c>
      <c r="P676" s="2">
        <v>0</v>
      </c>
    </row>
    <row r="677" spans="1:16">
      <c r="A677" s="2" t="str">
        <f>"20160418"</f>
        <v>20160418</v>
      </c>
      <c r="B677" s="2" t="str">
        <f>"000667"</f>
        <v>000667</v>
      </c>
      <c r="C677" s="2" t="str">
        <f>"美好集团"</f>
        <v>美好集团</v>
      </c>
      <c r="D677" s="2" t="str">
        <f>"股息红利差异扣税"</f>
        <v>股息红利差异扣税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-7.5</v>
      </c>
      <c r="O677" s="2">
        <v>1297.3</v>
      </c>
      <c r="P677" s="2">
        <v>0</v>
      </c>
    </row>
    <row r="678" spans="1:16">
      <c r="A678" s="2" t="str">
        <f t="shared" ref="A678:A683" si="277">"20160420"</f>
        <v>20160420</v>
      </c>
      <c r="B678" s="2" t="str">
        <f>"600886"</f>
        <v>600886</v>
      </c>
      <c r="C678" s="2" t="str">
        <f>"国投电力"</f>
        <v>国投电力</v>
      </c>
      <c r="D678" s="2" t="str">
        <f>"融资买入"</f>
        <v>融资买入</v>
      </c>
      <c r="E678" s="2">
        <v>6.34</v>
      </c>
      <c r="F678" s="2">
        <v>2000</v>
      </c>
      <c r="G678" s="2">
        <v>12680</v>
      </c>
      <c r="H678" s="2">
        <v>13.95</v>
      </c>
      <c r="I678" s="2">
        <v>13.08</v>
      </c>
      <c r="J678" s="2">
        <v>0</v>
      </c>
      <c r="K678" s="2">
        <v>0.25</v>
      </c>
      <c r="L678" s="2">
        <v>0</v>
      </c>
      <c r="M678" s="2">
        <v>0</v>
      </c>
      <c r="N678" s="2">
        <v>-12694.2</v>
      </c>
      <c r="O678" s="2">
        <v>-11396.9</v>
      </c>
      <c r="P678" s="2">
        <v>21000</v>
      </c>
    </row>
    <row r="679" spans="1:16">
      <c r="A679" s="2" t="str">
        <f t="shared" si="277"/>
        <v>20160420</v>
      </c>
      <c r="B679" s="2" t="str">
        <f>"600886"</f>
        <v>600886</v>
      </c>
      <c r="C679" s="2" t="str">
        <f>"国投电力"</f>
        <v>国投电力</v>
      </c>
      <c r="D679" s="2" t="str">
        <f>"担保品卖出"</f>
        <v>担保品卖出</v>
      </c>
      <c r="E679" s="2">
        <v>6.45</v>
      </c>
      <c r="F679" s="2">
        <v>2000</v>
      </c>
      <c r="G679" s="2">
        <v>12900</v>
      </c>
      <c r="H679" s="2">
        <v>5</v>
      </c>
      <c r="I679" s="2">
        <v>4.11</v>
      </c>
      <c r="J679" s="2">
        <v>12.9</v>
      </c>
      <c r="K679" s="2">
        <v>0.26</v>
      </c>
      <c r="L679" s="2">
        <v>0</v>
      </c>
      <c r="M679" s="2">
        <v>0</v>
      </c>
      <c r="N679" s="2">
        <v>12881.84</v>
      </c>
      <c r="O679" s="2">
        <v>1484.94</v>
      </c>
      <c r="P679" s="2">
        <v>19000</v>
      </c>
    </row>
    <row r="680" spans="1:16">
      <c r="A680" s="2" t="str">
        <f t="shared" si="277"/>
        <v>20160420</v>
      </c>
      <c r="B680" s="2"/>
      <c r="C680" s="2"/>
      <c r="D680" s="2" t="str">
        <f>"融资借入"</f>
        <v>融资借入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12694.2</v>
      </c>
      <c r="O680" s="2">
        <v>14179.14</v>
      </c>
      <c r="P680" s="2">
        <v>0</v>
      </c>
    </row>
    <row r="681" spans="1:16">
      <c r="A681" s="2" t="str">
        <f t="shared" si="277"/>
        <v>20160420</v>
      </c>
      <c r="B681" s="2"/>
      <c r="C681" s="2"/>
      <c r="D681" s="2" t="str">
        <f>"偿还融资负债本金"</f>
        <v>偿还融资负债本金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-7464.82</v>
      </c>
      <c r="O681" s="2">
        <v>6714.32</v>
      </c>
      <c r="P681" s="2">
        <v>0</v>
      </c>
    </row>
    <row r="682" spans="1:16">
      <c r="A682" s="2" t="str">
        <f t="shared" si="277"/>
        <v>20160420</v>
      </c>
      <c r="B682" s="2"/>
      <c r="C682" s="2"/>
      <c r="D682" s="2" t="str">
        <f>"偿还融资负债本金"</f>
        <v>偿还融资负债本金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-5383.32</v>
      </c>
      <c r="O682" s="2">
        <v>1331</v>
      </c>
      <c r="P682" s="2">
        <v>0</v>
      </c>
    </row>
    <row r="683" spans="1:16">
      <c r="A683" s="2" t="str">
        <f t="shared" si="277"/>
        <v>20160420</v>
      </c>
      <c r="B683" s="2"/>
      <c r="C683" s="2"/>
      <c r="D683" s="2" t="str">
        <f>"偿还融资利息"</f>
        <v>偿还融资利息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-338.61</v>
      </c>
      <c r="O683" s="2">
        <v>992.39</v>
      </c>
      <c r="P683" s="2">
        <v>0</v>
      </c>
    </row>
    <row r="684" spans="1:16">
      <c r="A684" s="2" t="str">
        <f>"20160503"</f>
        <v>20160503</v>
      </c>
      <c r="B684" s="2" t="str">
        <f>"601607"</f>
        <v>601607</v>
      </c>
      <c r="C684" s="2" t="str">
        <f>"上海医药"</f>
        <v>上海医药</v>
      </c>
      <c r="D684" s="2" t="str">
        <f t="shared" ref="D684:D688" si="278">"担保品卖出"</f>
        <v>担保品卖出</v>
      </c>
      <c r="E684" s="2">
        <v>18.65</v>
      </c>
      <c r="F684" s="2">
        <v>1000</v>
      </c>
      <c r="G684" s="2">
        <v>18650</v>
      </c>
      <c r="H684" s="2">
        <v>5.78</v>
      </c>
      <c r="I684" s="2">
        <v>4.5</v>
      </c>
      <c r="J684" s="2">
        <v>18.65</v>
      </c>
      <c r="K684" s="2">
        <v>0.37</v>
      </c>
      <c r="L684" s="2">
        <v>0</v>
      </c>
      <c r="M684" s="2">
        <v>0</v>
      </c>
      <c r="N684" s="2">
        <v>18625.2</v>
      </c>
      <c r="O684" s="2">
        <v>19617.59</v>
      </c>
      <c r="P684" s="2">
        <v>1000</v>
      </c>
    </row>
    <row r="685" spans="1:16">
      <c r="A685" s="2" t="str">
        <f>"20160509"</f>
        <v>20160509</v>
      </c>
      <c r="B685" s="2" t="str">
        <f t="shared" ref="B685:B688" si="279">"600219"</f>
        <v>600219</v>
      </c>
      <c r="C685" s="2" t="str">
        <f t="shared" ref="C685:C688" si="280">"南山铝业"</f>
        <v>南山铝业</v>
      </c>
      <c r="D685" s="2" t="str">
        <f>"担保品买入"</f>
        <v>担保品买入</v>
      </c>
      <c r="E685" s="2">
        <v>6.88</v>
      </c>
      <c r="F685" s="2">
        <v>1000</v>
      </c>
      <c r="G685" s="2">
        <v>6880</v>
      </c>
      <c r="H685" s="2">
        <v>5</v>
      </c>
      <c r="I685" s="2">
        <v>4.52</v>
      </c>
      <c r="J685" s="2">
        <v>0</v>
      </c>
      <c r="K685" s="2">
        <v>0.14</v>
      </c>
      <c r="L685" s="2">
        <v>0</v>
      </c>
      <c r="M685" s="2">
        <v>0</v>
      </c>
      <c r="N685" s="2">
        <v>-6885.14</v>
      </c>
      <c r="O685" s="2">
        <v>12732.45</v>
      </c>
      <c r="P685" s="2">
        <v>1000</v>
      </c>
    </row>
    <row r="686" spans="1:16">
      <c r="A686" s="2" t="str">
        <f>"20160509"</f>
        <v>20160509</v>
      </c>
      <c r="B686" s="2" t="str">
        <f t="shared" si="279"/>
        <v>600219</v>
      </c>
      <c r="C686" s="2" t="str">
        <f t="shared" si="280"/>
        <v>南山铝业</v>
      </c>
      <c r="D686" s="2" t="str">
        <f>"担保品买入"</f>
        <v>担保品买入</v>
      </c>
      <c r="E686" s="2">
        <v>6.69</v>
      </c>
      <c r="F686" s="2">
        <v>1000</v>
      </c>
      <c r="G686" s="2">
        <v>6690</v>
      </c>
      <c r="H686" s="2">
        <v>5</v>
      </c>
      <c r="I686" s="2">
        <v>4.54</v>
      </c>
      <c r="J686" s="2">
        <v>0</v>
      </c>
      <c r="K686" s="2">
        <v>0.13</v>
      </c>
      <c r="L686" s="2">
        <v>0</v>
      </c>
      <c r="M686" s="2">
        <v>0</v>
      </c>
      <c r="N686" s="2">
        <v>-6695.13</v>
      </c>
      <c r="O686" s="2">
        <v>6037.32</v>
      </c>
      <c r="P686" s="2">
        <v>2000</v>
      </c>
    </row>
    <row r="687" spans="1:16">
      <c r="A687" s="2" t="str">
        <f t="shared" ref="A687:A690" si="281">"20160511"</f>
        <v>20160511</v>
      </c>
      <c r="B687" s="2" t="str">
        <f>"601607"</f>
        <v>601607</v>
      </c>
      <c r="C687" s="2" t="str">
        <f>"上海医药"</f>
        <v>上海医药</v>
      </c>
      <c r="D687" s="2" t="str">
        <f t="shared" si="278"/>
        <v>担保品卖出</v>
      </c>
      <c r="E687" s="2">
        <v>18.72</v>
      </c>
      <c r="F687" s="2">
        <v>1000</v>
      </c>
      <c r="G687" s="2">
        <v>18720</v>
      </c>
      <c r="H687" s="2">
        <v>5.8</v>
      </c>
      <c r="I687" s="2">
        <v>4.52</v>
      </c>
      <c r="J687" s="2">
        <v>18.72</v>
      </c>
      <c r="K687" s="2">
        <v>0.37</v>
      </c>
      <c r="L687" s="2">
        <v>0</v>
      </c>
      <c r="M687" s="2">
        <v>0</v>
      </c>
      <c r="N687" s="2">
        <v>18695.11</v>
      </c>
      <c r="O687" s="2">
        <v>24732.43</v>
      </c>
      <c r="P687" s="2">
        <v>0</v>
      </c>
    </row>
    <row r="688" spans="1:16">
      <c r="A688" s="2" t="str">
        <f t="shared" si="281"/>
        <v>20160511</v>
      </c>
      <c r="B688" s="2" t="str">
        <f t="shared" si="279"/>
        <v>600219</v>
      </c>
      <c r="C688" s="2" t="str">
        <f t="shared" si="280"/>
        <v>南山铝业</v>
      </c>
      <c r="D688" s="2" t="str">
        <f t="shared" si="278"/>
        <v>担保品卖出</v>
      </c>
      <c r="E688" s="2">
        <v>6.84</v>
      </c>
      <c r="F688" s="2">
        <v>2000</v>
      </c>
      <c r="G688" s="2">
        <v>13680</v>
      </c>
      <c r="H688" s="2">
        <v>5</v>
      </c>
      <c r="I688" s="2">
        <v>4.06</v>
      </c>
      <c r="J688" s="2">
        <v>13.68</v>
      </c>
      <c r="K688" s="2">
        <v>0.27</v>
      </c>
      <c r="L688" s="2">
        <v>0</v>
      </c>
      <c r="M688" s="2">
        <v>0</v>
      </c>
      <c r="N688" s="2">
        <v>13661.05</v>
      </c>
      <c r="O688" s="2">
        <v>38393.48</v>
      </c>
      <c r="P688" s="2">
        <v>0</v>
      </c>
    </row>
    <row r="689" spans="1:16">
      <c r="A689" s="2" t="str">
        <f t="shared" si="281"/>
        <v>20160511</v>
      </c>
      <c r="B689" s="2"/>
      <c r="C689" s="2"/>
      <c r="D689" s="2" t="str">
        <f t="shared" ref="D689:D694" si="282">"偿还融资负债本金"</f>
        <v>偿还融资负债本金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-1281.64</v>
      </c>
      <c r="O689" s="2">
        <v>37111.84</v>
      </c>
      <c r="P689" s="2">
        <v>0</v>
      </c>
    </row>
    <row r="690" spans="1:16">
      <c r="A690" s="2" t="str">
        <f t="shared" si="281"/>
        <v>20160511</v>
      </c>
      <c r="B690" s="2"/>
      <c r="C690" s="2"/>
      <c r="D690" s="2" t="str">
        <f>"偿还融资利息"</f>
        <v>偿还融资利息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-39.64</v>
      </c>
      <c r="O690" s="2">
        <v>37072.2</v>
      </c>
      <c r="P690" s="2">
        <v>0</v>
      </c>
    </row>
    <row r="691" spans="1:16">
      <c r="A691" s="2" t="str">
        <f t="shared" ref="A691:A695" si="283">"20160512"</f>
        <v>20160512</v>
      </c>
      <c r="B691" s="2" t="str">
        <f>"600219"</f>
        <v>600219</v>
      </c>
      <c r="C691" s="2" t="str">
        <f>"南山铝业"</f>
        <v>南山铝业</v>
      </c>
      <c r="D691" s="2" t="str">
        <f>"担保品买入"</f>
        <v>担保品买入</v>
      </c>
      <c r="E691" s="2">
        <v>6.53</v>
      </c>
      <c r="F691" s="2">
        <v>2000</v>
      </c>
      <c r="G691" s="2">
        <v>13060</v>
      </c>
      <c r="H691" s="2">
        <v>5</v>
      </c>
      <c r="I691" s="2">
        <v>4.1</v>
      </c>
      <c r="J691" s="2">
        <v>0</v>
      </c>
      <c r="K691" s="2">
        <v>0.26</v>
      </c>
      <c r="L691" s="2">
        <v>0</v>
      </c>
      <c r="M691" s="2">
        <v>0</v>
      </c>
      <c r="N691" s="2">
        <v>-13065.26</v>
      </c>
      <c r="O691" s="2">
        <v>24006.94</v>
      </c>
      <c r="P691" s="2">
        <v>2000</v>
      </c>
    </row>
    <row r="692" spans="1:16">
      <c r="A692" s="2" t="str">
        <f t="shared" si="283"/>
        <v>20160512</v>
      </c>
      <c r="B692" s="2" t="str">
        <f>"600886"</f>
        <v>600886</v>
      </c>
      <c r="C692" s="2" t="str">
        <f>"国投电力"</f>
        <v>国投电力</v>
      </c>
      <c r="D692" s="2" t="str">
        <f>"担保品卖出"</f>
        <v>担保品卖出</v>
      </c>
      <c r="E692" s="2">
        <v>6.86</v>
      </c>
      <c r="F692" s="2">
        <v>2000</v>
      </c>
      <c r="G692" s="2">
        <v>13720</v>
      </c>
      <c r="H692" s="2">
        <v>5</v>
      </c>
      <c r="I692" s="2">
        <v>4.06</v>
      </c>
      <c r="J692" s="2">
        <v>13.72</v>
      </c>
      <c r="K692" s="2">
        <v>0.27</v>
      </c>
      <c r="L692" s="2">
        <v>0</v>
      </c>
      <c r="M692" s="2">
        <v>0</v>
      </c>
      <c r="N692" s="2">
        <v>13701.01</v>
      </c>
      <c r="O692" s="2">
        <v>37707.95</v>
      </c>
      <c r="P692" s="2">
        <v>17000</v>
      </c>
    </row>
    <row r="693" spans="1:16">
      <c r="A693" s="2" t="str">
        <f t="shared" si="283"/>
        <v>20160512</v>
      </c>
      <c r="B693" s="2"/>
      <c r="C693" s="2"/>
      <c r="D693" s="2" t="str">
        <f t="shared" si="282"/>
        <v>偿还融资负债本金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-8822.57</v>
      </c>
      <c r="O693" s="2">
        <v>28885.38</v>
      </c>
      <c r="P693" s="2">
        <v>0</v>
      </c>
    </row>
    <row r="694" spans="1:16">
      <c r="A694" s="2" t="str">
        <f t="shared" si="283"/>
        <v>20160512</v>
      </c>
      <c r="B694" s="2"/>
      <c r="C694" s="2"/>
      <c r="D694" s="2" t="str">
        <f t="shared" si="282"/>
        <v>偿还融资负债本金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-4842.28</v>
      </c>
      <c r="O694" s="2">
        <v>24043.1</v>
      </c>
      <c r="P694" s="2">
        <v>0</v>
      </c>
    </row>
    <row r="695" spans="1:16">
      <c r="A695" s="2" t="str">
        <f t="shared" si="283"/>
        <v>20160512</v>
      </c>
      <c r="B695" s="2"/>
      <c r="C695" s="2"/>
      <c r="D695" s="2" t="str">
        <f>"偿还融资利息"</f>
        <v>偿还融资利息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-370.94</v>
      </c>
      <c r="O695" s="2">
        <v>23672.16</v>
      </c>
      <c r="P695" s="2">
        <v>0</v>
      </c>
    </row>
    <row r="696" spans="1:16">
      <c r="A696" s="2" t="str">
        <f>"20160513"</f>
        <v>20160513</v>
      </c>
      <c r="B696" s="2" t="str">
        <f>"600886"</f>
        <v>600886</v>
      </c>
      <c r="C696" s="2" t="str">
        <f>"国投电力"</f>
        <v>国投电力</v>
      </c>
      <c r="D696" s="2" t="str">
        <f t="shared" ref="D696:D699" si="284">"担保品买入"</f>
        <v>担保品买入</v>
      </c>
      <c r="E696" s="2">
        <v>6.66</v>
      </c>
      <c r="F696" s="2">
        <v>2000</v>
      </c>
      <c r="G696" s="2">
        <v>13320</v>
      </c>
      <c r="H696" s="2">
        <v>5</v>
      </c>
      <c r="I696" s="2">
        <v>4.08</v>
      </c>
      <c r="J696" s="2">
        <v>0</v>
      </c>
      <c r="K696" s="2">
        <v>0.27</v>
      </c>
      <c r="L696" s="2">
        <v>0</v>
      </c>
      <c r="M696" s="2">
        <v>0</v>
      </c>
      <c r="N696" s="2">
        <v>-13325.27</v>
      </c>
      <c r="O696" s="2">
        <v>10346.89</v>
      </c>
      <c r="P696" s="2">
        <v>19000</v>
      </c>
    </row>
    <row r="697" spans="1:16">
      <c r="A697" s="2" t="str">
        <f>"20160516"</f>
        <v>20160516</v>
      </c>
      <c r="B697" s="2" t="str">
        <f>"600219"</f>
        <v>600219</v>
      </c>
      <c r="C697" s="2" t="str">
        <f>"南山铝业"</f>
        <v>南山铝业</v>
      </c>
      <c r="D697" s="2" t="str">
        <f>"担保品卖出"</f>
        <v>担保品卖出</v>
      </c>
      <c r="E697" s="2">
        <v>6.89</v>
      </c>
      <c r="F697" s="2">
        <v>2000</v>
      </c>
      <c r="G697" s="2">
        <v>13780</v>
      </c>
      <c r="H697" s="2">
        <v>5</v>
      </c>
      <c r="I697" s="2">
        <v>4.05</v>
      </c>
      <c r="J697" s="2">
        <v>13.78</v>
      </c>
      <c r="K697" s="2">
        <v>0.28</v>
      </c>
      <c r="L697" s="2">
        <v>0</v>
      </c>
      <c r="M697" s="2">
        <v>0</v>
      </c>
      <c r="N697" s="2">
        <v>13760.94</v>
      </c>
      <c r="O697" s="2">
        <v>24107.83</v>
      </c>
      <c r="P697" s="2">
        <v>0</v>
      </c>
    </row>
    <row r="698" spans="1:16">
      <c r="A698" s="2" t="str">
        <f>"20160516"</f>
        <v>20160516</v>
      </c>
      <c r="B698" s="2" t="str">
        <f>"000667"</f>
        <v>000667</v>
      </c>
      <c r="C698" s="2" t="str">
        <f>"美好集团"</f>
        <v>美好集团</v>
      </c>
      <c r="D698" s="2" t="str">
        <f t="shared" si="284"/>
        <v>担保品买入</v>
      </c>
      <c r="E698" s="2">
        <v>3.65</v>
      </c>
      <c r="F698" s="2">
        <v>3000</v>
      </c>
      <c r="G698" s="2">
        <v>10950</v>
      </c>
      <c r="H698" s="2">
        <v>5</v>
      </c>
      <c r="I698" s="2">
        <v>4.03</v>
      </c>
      <c r="J698" s="2">
        <v>0</v>
      </c>
      <c r="K698" s="2">
        <v>0</v>
      </c>
      <c r="L698" s="2">
        <v>0</v>
      </c>
      <c r="M698" s="2">
        <v>0</v>
      </c>
      <c r="N698" s="2">
        <v>-10955</v>
      </c>
      <c r="O698" s="2">
        <v>13152.83</v>
      </c>
      <c r="P698" s="2">
        <v>10000</v>
      </c>
    </row>
    <row r="699" spans="1:16">
      <c r="A699" s="2" t="str">
        <f>"20160519"</f>
        <v>20160519</v>
      </c>
      <c r="B699" s="2" t="str">
        <f>"600219"</f>
        <v>600219</v>
      </c>
      <c r="C699" s="2" t="str">
        <f>"南山铝业"</f>
        <v>南山铝业</v>
      </c>
      <c r="D699" s="2" t="str">
        <f t="shared" si="284"/>
        <v>担保品买入</v>
      </c>
      <c r="E699" s="2">
        <v>6.58</v>
      </c>
      <c r="F699" s="2">
        <v>1900</v>
      </c>
      <c r="G699" s="2">
        <v>12502</v>
      </c>
      <c r="H699" s="2">
        <v>5</v>
      </c>
      <c r="I699" s="2">
        <v>4.15</v>
      </c>
      <c r="J699" s="2">
        <v>0</v>
      </c>
      <c r="K699" s="2">
        <v>0.25</v>
      </c>
      <c r="L699" s="2">
        <v>0</v>
      </c>
      <c r="M699" s="2">
        <v>0</v>
      </c>
      <c r="N699" s="2">
        <v>-12507.25</v>
      </c>
      <c r="O699" s="2">
        <v>645.58</v>
      </c>
      <c r="P699" s="2">
        <v>1900</v>
      </c>
    </row>
    <row r="700" spans="1:16">
      <c r="A700" s="2" t="str">
        <f t="shared" ref="A700:A705" si="285">"20160520"</f>
        <v>20160520</v>
      </c>
      <c r="B700" s="2" t="str">
        <f>"600066"</f>
        <v>600066</v>
      </c>
      <c r="C700" s="2" t="str">
        <f>"宇通客车"</f>
        <v>宇通客车</v>
      </c>
      <c r="D700" s="2" t="str">
        <f>"红利入账"</f>
        <v>红利入账</v>
      </c>
      <c r="E700" s="2">
        <v>0</v>
      </c>
      <c r="F700" s="2">
        <v>1000</v>
      </c>
      <c r="G700" s="2">
        <v>1500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1500</v>
      </c>
      <c r="O700" s="2">
        <v>2145.58</v>
      </c>
      <c r="P700" s="2">
        <v>0</v>
      </c>
    </row>
    <row r="701" spans="1:16">
      <c r="A701" s="2" t="str">
        <f t="shared" si="285"/>
        <v>20160520</v>
      </c>
      <c r="B701" s="2" t="str">
        <f>"600066"</f>
        <v>600066</v>
      </c>
      <c r="C701" s="2" t="str">
        <f>"宇通客车"</f>
        <v>宇通客车</v>
      </c>
      <c r="D701" s="2" t="str">
        <f>"担保品卖出"</f>
        <v>担保品卖出</v>
      </c>
      <c r="E701" s="2">
        <v>21.6</v>
      </c>
      <c r="F701" s="2">
        <v>1000</v>
      </c>
      <c r="G701" s="2">
        <v>21600</v>
      </c>
      <c r="H701" s="2">
        <v>6.7</v>
      </c>
      <c r="I701" s="2">
        <v>5.22</v>
      </c>
      <c r="J701" s="2">
        <v>21.6</v>
      </c>
      <c r="K701" s="2">
        <v>0.43</v>
      </c>
      <c r="L701" s="2">
        <v>0</v>
      </c>
      <c r="M701" s="2">
        <v>0</v>
      </c>
      <c r="N701" s="2">
        <v>21571.27</v>
      </c>
      <c r="O701" s="2">
        <v>23716.85</v>
      </c>
      <c r="P701" s="2">
        <v>1000</v>
      </c>
    </row>
    <row r="702" spans="1:16">
      <c r="A702" s="2" t="str">
        <f t="shared" si="285"/>
        <v>20160520</v>
      </c>
      <c r="B702" s="2"/>
      <c r="C702" s="2"/>
      <c r="D702" s="2" t="str">
        <f t="shared" ref="D702:D708" si="286">"偿还融资负债本金"</f>
        <v>偿还融资负债本金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-1345.8</v>
      </c>
      <c r="O702" s="2">
        <v>22371.05</v>
      </c>
      <c r="P702" s="2">
        <v>0</v>
      </c>
    </row>
    <row r="703" spans="1:16">
      <c r="A703" s="2" t="str">
        <f t="shared" si="285"/>
        <v>20160520</v>
      </c>
      <c r="B703" s="2"/>
      <c r="C703" s="2"/>
      <c r="D703" s="2" t="str">
        <f t="shared" si="286"/>
        <v>偿还融资负债本金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-19561.88</v>
      </c>
      <c r="O703" s="2">
        <v>2809.17</v>
      </c>
      <c r="P703" s="2">
        <v>0</v>
      </c>
    </row>
    <row r="704" spans="1:16">
      <c r="A704" s="2" t="str">
        <f t="shared" si="285"/>
        <v>20160520</v>
      </c>
      <c r="B704" s="2"/>
      <c r="C704" s="2"/>
      <c r="D704" s="2" t="str">
        <f t="shared" ref="D704:D709" si="287">"偿还融资利息"</f>
        <v>偿还融资利息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-36.7</v>
      </c>
      <c r="O704" s="2">
        <v>2772.47</v>
      </c>
      <c r="P704" s="2">
        <v>0</v>
      </c>
    </row>
    <row r="705" spans="1:16">
      <c r="A705" s="2" t="str">
        <f t="shared" si="285"/>
        <v>20160520</v>
      </c>
      <c r="B705" s="2"/>
      <c r="C705" s="2"/>
      <c r="D705" s="2" t="str">
        <f t="shared" si="287"/>
        <v>偿还融资利息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-349.47</v>
      </c>
      <c r="O705" s="2">
        <v>2423</v>
      </c>
      <c r="P705" s="2">
        <v>0</v>
      </c>
    </row>
    <row r="706" spans="1:16">
      <c r="A706" s="2" t="str">
        <f t="shared" ref="A706:A709" si="288">"20160523"</f>
        <v>20160523</v>
      </c>
      <c r="B706" s="2" t="str">
        <f>"600219"</f>
        <v>600219</v>
      </c>
      <c r="C706" s="2" t="str">
        <f>"南山铝业"</f>
        <v>南山铝业</v>
      </c>
      <c r="D706" s="2" t="str">
        <f>"担保品卖出"</f>
        <v>担保品卖出</v>
      </c>
      <c r="E706" s="2">
        <v>6.84</v>
      </c>
      <c r="F706" s="2">
        <v>1900</v>
      </c>
      <c r="G706" s="2">
        <v>12996</v>
      </c>
      <c r="H706" s="2">
        <v>5</v>
      </c>
      <c r="I706" s="2">
        <v>4.11</v>
      </c>
      <c r="J706" s="2">
        <v>13</v>
      </c>
      <c r="K706" s="2">
        <v>0.26</v>
      </c>
      <c r="L706" s="2">
        <v>0</v>
      </c>
      <c r="M706" s="2">
        <v>0</v>
      </c>
      <c r="N706" s="2">
        <v>12977.74</v>
      </c>
      <c r="O706" s="2">
        <v>15400.74</v>
      </c>
      <c r="P706" s="2">
        <v>0</v>
      </c>
    </row>
    <row r="707" spans="1:16">
      <c r="A707" s="2" t="str">
        <f t="shared" si="288"/>
        <v>20160523</v>
      </c>
      <c r="B707" s="2"/>
      <c r="C707" s="2"/>
      <c r="D707" s="2" t="str">
        <f t="shared" si="286"/>
        <v>偿还融资负债本金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-885.25</v>
      </c>
      <c r="O707" s="2">
        <v>14400.74</v>
      </c>
      <c r="P707" s="2">
        <v>0</v>
      </c>
    </row>
    <row r="708" spans="1:16">
      <c r="A708" s="2" t="str">
        <f t="shared" si="288"/>
        <v>20160523</v>
      </c>
      <c r="B708" s="2"/>
      <c r="C708" s="2"/>
      <c r="D708" s="2" t="str">
        <f t="shared" si="286"/>
        <v>偿还融资负债本金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-500</v>
      </c>
      <c r="O708" s="2">
        <v>13900.74</v>
      </c>
      <c r="P708" s="2">
        <v>0</v>
      </c>
    </row>
    <row r="709" spans="1:16">
      <c r="A709" s="2" t="str">
        <f t="shared" si="288"/>
        <v>20160523</v>
      </c>
      <c r="B709" s="2"/>
      <c r="C709" s="2"/>
      <c r="D709" s="2" t="str">
        <f t="shared" si="287"/>
        <v>偿还融资利息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-114.75</v>
      </c>
      <c r="O709" s="2">
        <v>15285.99</v>
      </c>
      <c r="P709" s="2">
        <v>0</v>
      </c>
    </row>
    <row r="710" spans="1:16">
      <c r="A710" s="2" t="str">
        <f>"20160620"</f>
        <v>20160620</v>
      </c>
      <c r="B710" s="2"/>
      <c r="C710" s="2"/>
      <c r="D710" s="2" t="str">
        <f>"利息归本"</f>
        <v>利息归本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6.56</v>
      </c>
      <c r="O710" s="2">
        <v>13907.3</v>
      </c>
      <c r="P710" s="2">
        <v>0</v>
      </c>
    </row>
    <row r="711" spans="1:16">
      <c r="A711" s="2" t="str">
        <f>"20160624"</f>
        <v>20160624</v>
      </c>
      <c r="B711" s="2" t="str">
        <f>"600886"</f>
        <v>600886</v>
      </c>
      <c r="C711" s="2" t="str">
        <f>"国投电力"</f>
        <v>国投电力</v>
      </c>
      <c r="D711" s="2" t="str">
        <f>"担保品买入"</f>
        <v>担保品买入</v>
      </c>
      <c r="E711" s="2">
        <v>6.48</v>
      </c>
      <c r="F711" s="2">
        <v>2000</v>
      </c>
      <c r="G711" s="2">
        <v>12960</v>
      </c>
      <c r="H711" s="2">
        <v>5</v>
      </c>
      <c r="I711" s="2">
        <v>4.11</v>
      </c>
      <c r="J711" s="2">
        <v>0</v>
      </c>
      <c r="K711" s="2">
        <v>0.26</v>
      </c>
      <c r="L711" s="2">
        <v>0</v>
      </c>
      <c r="M711" s="2">
        <v>0</v>
      </c>
      <c r="N711" s="2">
        <v>-12965.26</v>
      </c>
      <c r="O711" s="2">
        <v>942.04</v>
      </c>
      <c r="P711" s="2">
        <v>21000</v>
      </c>
    </row>
    <row r="712" spans="1:16">
      <c r="A712" s="2" t="str">
        <f>"20160628"</f>
        <v>20160628</v>
      </c>
      <c r="B712" s="2" t="str">
        <f>"600219"</f>
        <v>600219</v>
      </c>
      <c r="C712" s="2" t="str">
        <f>"南山铝业"</f>
        <v>南山铝业</v>
      </c>
      <c r="D712" s="2" t="str">
        <f>"融资买入"</f>
        <v>融资买入</v>
      </c>
      <c r="E712" s="2">
        <v>7.07</v>
      </c>
      <c r="F712" s="2">
        <v>1000</v>
      </c>
      <c r="G712" s="2">
        <v>7070</v>
      </c>
      <c r="H712" s="2">
        <v>7.78</v>
      </c>
      <c r="I712" s="2">
        <v>7.3</v>
      </c>
      <c r="J712" s="2">
        <v>0</v>
      </c>
      <c r="K712" s="2">
        <v>0.14</v>
      </c>
      <c r="L712" s="2">
        <v>0</v>
      </c>
      <c r="M712" s="2">
        <v>0</v>
      </c>
      <c r="N712" s="2">
        <v>-7077.92</v>
      </c>
      <c r="O712" s="2">
        <v>-6135.88</v>
      </c>
      <c r="P712" s="2">
        <v>1000</v>
      </c>
    </row>
    <row r="713" spans="1:16">
      <c r="A713" s="2" t="str">
        <f>"20160628"</f>
        <v>20160628</v>
      </c>
      <c r="B713" s="2"/>
      <c r="C713" s="2"/>
      <c r="D713" s="2" t="str">
        <f>"融资借入"</f>
        <v>融资借入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7077.92</v>
      </c>
      <c r="O713" s="2">
        <v>942.04</v>
      </c>
      <c r="P713" s="2">
        <v>0</v>
      </c>
    </row>
    <row r="714" spans="1:16">
      <c r="A714" s="2" t="str">
        <f t="shared" ref="A714:A716" si="289">"20160629"</f>
        <v>20160629</v>
      </c>
      <c r="B714" s="2" t="str">
        <f>"600219"</f>
        <v>600219</v>
      </c>
      <c r="C714" s="2" t="str">
        <f>"南山铝业"</f>
        <v>南山铝业</v>
      </c>
      <c r="D714" s="2" t="str">
        <f>"担保品卖出"</f>
        <v>担保品卖出</v>
      </c>
      <c r="E714" s="2">
        <v>7.33</v>
      </c>
      <c r="F714" s="2">
        <v>1000</v>
      </c>
      <c r="G714" s="2">
        <v>7330</v>
      </c>
      <c r="H714" s="2">
        <v>5</v>
      </c>
      <c r="I714" s="2">
        <v>4.49</v>
      </c>
      <c r="J714" s="2">
        <v>7.33</v>
      </c>
      <c r="K714" s="2">
        <v>0.15</v>
      </c>
      <c r="L714" s="2">
        <v>0</v>
      </c>
      <c r="M714" s="2">
        <v>0</v>
      </c>
      <c r="N714" s="2">
        <v>7317.52</v>
      </c>
      <c r="O714" s="2">
        <v>8259.56</v>
      </c>
      <c r="P714" s="2">
        <v>0</v>
      </c>
    </row>
    <row r="715" spans="1:16">
      <c r="A715" s="2" t="str">
        <f t="shared" si="289"/>
        <v>20160629</v>
      </c>
      <c r="B715" s="2"/>
      <c r="C715" s="2"/>
      <c r="D715" s="2" t="str">
        <f t="shared" ref="D715:D718" si="290">"偿还融资负债本金"</f>
        <v>偿还融资负债本金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-7077.92</v>
      </c>
      <c r="O715" s="2">
        <v>1181.64</v>
      </c>
      <c r="P715" s="2">
        <v>0</v>
      </c>
    </row>
    <row r="716" spans="1:16">
      <c r="A716" s="2" t="str">
        <f t="shared" si="289"/>
        <v>20160629</v>
      </c>
      <c r="B716" s="2"/>
      <c r="C716" s="2"/>
      <c r="D716" s="2" t="str">
        <f>"偿还融资利息"</f>
        <v>偿还融资利息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-1.64</v>
      </c>
      <c r="O716" s="2">
        <v>1180</v>
      </c>
      <c r="P716" s="2">
        <v>0</v>
      </c>
    </row>
    <row r="717" spans="1:16">
      <c r="A717" s="2" t="str">
        <f t="shared" ref="A717:A719" si="291">"20160630"</f>
        <v>20160630</v>
      </c>
      <c r="B717" s="2"/>
      <c r="C717" s="2"/>
      <c r="D717" s="2" t="str">
        <f t="shared" si="290"/>
        <v>偿还融资负债本金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-934.25</v>
      </c>
      <c r="O717" s="2">
        <v>180</v>
      </c>
      <c r="P717" s="2">
        <v>0</v>
      </c>
    </row>
    <row r="718" spans="1:16">
      <c r="A718" s="2" t="str">
        <f t="shared" si="291"/>
        <v>20160630</v>
      </c>
      <c r="B718" s="2"/>
      <c r="C718" s="2"/>
      <c r="D718" s="2" t="str">
        <f t="shared" si="290"/>
        <v>偿还融资负债本金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-180</v>
      </c>
      <c r="O718" s="2">
        <v>0</v>
      </c>
      <c r="P718" s="2">
        <v>0</v>
      </c>
    </row>
    <row r="719" spans="1:16">
      <c r="A719" s="2" t="str">
        <f t="shared" si="291"/>
        <v>20160630</v>
      </c>
      <c r="B719" s="2"/>
      <c r="C719" s="2"/>
      <c r="D719" s="2" t="str">
        <f>"偿还融资利息"</f>
        <v>偿还融资利息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-65.75</v>
      </c>
      <c r="O719" s="2">
        <v>1114.25</v>
      </c>
      <c r="P719" s="2">
        <v>0</v>
      </c>
    </row>
    <row r="720" spans="1:16">
      <c r="A720" s="1" t="str">
        <f>"20160704"</f>
        <v>20160704</v>
      </c>
      <c r="B720" s="1" t="str">
        <f>"600886"</f>
        <v>600886</v>
      </c>
      <c r="C720" s="1" t="str">
        <f>"国投电力"</f>
        <v>国投电力</v>
      </c>
      <c r="D720" s="1" t="str">
        <f>"红利入账"</f>
        <v>红利入账</v>
      </c>
      <c r="E720" s="1">
        <v>0</v>
      </c>
      <c r="F720" s="1">
        <v>21000</v>
      </c>
      <c r="G720" s="1">
        <v>5878.53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5878.53</v>
      </c>
      <c r="O720" s="1">
        <v>5878.53</v>
      </c>
      <c r="P720" s="1">
        <v>0</v>
      </c>
    </row>
    <row r="721" spans="1:16">
      <c r="A721" s="1" t="str">
        <f>"20160705"</f>
        <v>20160705</v>
      </c>
      <c r="B721" s="1"/>
      <c r="C721" s="1"/>
      <c r="D721" s="1" t="str">
        <f>"偿还融资负债本金"</f>
        <v>偿还融资负债本金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-5871.17</v>
      </c>
      <c r="O721" s="1">
        <v>0</v>
      </c>
      <c r="P721" s="1">
        <v>0</v>
      </c>
    </row>
    <row r="722" spans="1:16">
      <c r="A722" s="1" t="str">
        <f>"20160705"</f>
        <v>20160705</v>
      </c>
      <c r="B722" s="1"/>
      <c r="C722" s="1"/>
      <c r="D722" s="1" t="str">
        <f>"偿还融资利息"</f>
        <v>偿还融资利息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-7.36</v>
      </c>
      <c r="O722" s="1">
        <v>5871.17</v>
      </c>
      <c r="P722" s="1">
        <v>0</v>
      </c>
    </row>
    <row r="723" spans="1:16">
      <c r="A723" s="1" t="str">
        <f>"20160706"</f>
        <v>20160706</v>
      </c>
      <c r="B723" s="1" t="str">
        <f>"600066"</f>
        <v>600066</v>
      </c>
      <c r="C723" s="1" t="str">
        <f>"宇通客车"</f>
        <v>宇通客车</v>
      </c>
      <c r="D723" s="1" t="str">
        <f>"担保品卖出"</f>
        <v>担保品卖出</v>
      </c>
      <c r="E723" s="1">
        <v>20.34</v>
      </c>
      <c r="F723" s="1">
        <v>500</v>
      </c>
      <c r="G723" s="1">
        <v>10170</v>
      </c>
      <c r="H723" s="1">
        <v>5</v>
      </c>
      <c r="I723" s="1">
        <v>4.3</v>
      </c>
      <c r="J723" s="1">
        <v>10.17</v>
      </c>
      <c r="K723" s="1">
        <v>0.2</v>
      </c>
      <c r="L723" s="1">
        <v>0</v>
      </c>
      <c r="M723" s="1">
        <v>0</v>
      </c>
      <c r="N723" s="1">
        <v>10154.63</v>
      </c>
      <c r="O723" s="1">
        <v>10154.63</v>
      </c>
      <c r="P723" s="1">
        <v>500</v>
      </c>
    </row>
    <row r="724" spans="1:16">
      <c r="A724" s="1" t="str">
        <f>"20160707"</f>
        <v>20160707</v>
      </c>
      <c r="B724" s="1" t="str">
        <f>"600066"</f>
        <v>600066</v>
      </c>
      <c r="C724" s="1" t="str">
        <f>"宇通客车"</f>
        <v>宇通客车</v>
      </c>
      <c r="D724" s="1" t="str">
        <f>"股息红利差异扣税"</f>
        <v>股息红利差异扣税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-75</v>
      </c>
      <c r="O724" s="1">
        <v>10079.63</v>
      </c>
      <c r="P724" s="1">
        <v>0</v>
      </c>
    </row>
    <row r="725" spans="1:16">
      <c r="A725" s="1" t="str">
        <f>"20160720"</f>
        <v>20160720</v>
      </c>
      <c r="B725" s="1" t="str">
        <f t="shared" ref="B725:B728" si="292">"600575"</f>
        <v>600575</v>
      </c>
      <c r="C725" s="1" t="str">
        <f t="shared" ref="C725:C728" si="293">"皖江物流"</f>
        <v>皖江物流</v>
      </c>
      <c r="D725" s="1" t="str">
        <f t="shared" ref="D725:D728" si="294">"融资买入"</f>
        <v>融资买入</v>
      </c>
      <c r="E725" s="1">
        <v>4.43</v>
      </c>
      <c r="F725" s="1">
        <v>3000</v>
      </c>
      <c r="G725" s="1">
        <v>13290</v>
      </c>
      <c r="H725" s="1">
        <v>14.62</v>
      </c>
      <c r="I725" s="1">
        <v>13.7</v>
      </c>
      <c r="J725" s="1">
        <v>0</v>
      </c>
      <c r="K725" s="1">
        <v>0.27</v>
      </c>
      <c r="L725" s="1">
        <v>0</v>
      </c>
      <c r="M725" s="1">
        <v>0</v>
      </c>
      <c r="N725" s="1">
        <v>-13304.89</v>
      </c>
      <c r="O725" s="1">
        <v>-3225.26</v>
      </c>
      <c r="P725" s="1">
        <v>3000</v>
      </c>
    </row>
    <row r="726" spans="1:16">
      <c r="A726" s="1" t="str">
        <f>"20160720"</f>
        <v>20160720</v>
      </c>
      <c r="B726" s="1"/>
      <c r="C726" s="1"/>
      <c r="D726" s="1" t="str">
        <f t="shared" ref="D726:D730" si="295">"融资借入"</f>
        <v>融资借入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13304.89</v>
      </c>
      <c r="O726" s="1">
        <v>10079.63</v>
      </c>
      <c r="P726" s="1">
        <v>0</v>
      </c>
    </row>
    <row r="727" spans="1:16">
      <c r="A727" s="1" t="str">
        <f t="shared" ref="A727:A730" si="296">"20160726"</f>
        <v>20160726</v>
      </c>
      <c r="B727" s="1" t="str">
        <f t="shared" si="292"/>
        <v>600575</v>
      </c>
      <c r="C727" s="1" t="str">
        <f t="shared" si="293"/>
        <v>皖江物流</v>
      </c>
      <c r="D727" s="1" t="str">
        <f t="shared" si="294"/>
        <v>融资买入</v>
      </c>
      <c r="E727" s="1">
        <v>4.45</v>
      </c>
      <c r="F727" s="1">
        <v>3000</v>
      </c>
      <c r="G727" s="1">
        <v>13350</v>
      </c>
      <c r="H727" s="1">
        <v>14.69</v>
      </c>
      <c r="I727" s="1">
        <v>13.77</v>
      </c>
      <c r="J727" s="1">
        <v>0</v>
      </c>
      <c r="K727" s="1">
        <v>0.27</v>
      </c>
      <c r="L727" s="1">
        <v>0</v>
      </c>
      <c r="M727" s="1">
        <v>0</v>
      </c>
      <c r="N727" s="1">
        <v>-13364.96</v>
      </c>
      <c r="O727" s="1">
        <v>-3285.33</v>
      </c>
      <c r="P727" s="1">
        <v>6000</v>
      </c>
    </row>
    <row r="728" spans="1:16">
      <c r="A728" s="1" t="str">
        <f t="shared" si="296"/>
        <v>20160726</v>
      </c>
      <c r="B728" s="1" t="str">
        <f t="shared" si="292"/>
        <v>600575</v>
      </c>
      <c r="C728" s="1" t="str">
        <f t="shared" si="293"/>
        <v>皖江物流</v>
      </c>
      <c r="D728" s="1" t="str">
        <f t="shared" si="294"/>
        <v>融资买入</v>
      </c>
      <c r="E728" s="1">
        <v>4.46</v>
      </c>
      <c r="F728" s="1">
        <v>3000</v>
      </c>
      <c r="G728" s="1">
        <v>13380</v>
      </c>
      <c r="H728" s="1">
        <v>14.72</v>
      </c>
      <c r="I728" s="1">
        <v>13.8</v>
      </c>
      <c r="J728" s="1">
        <v>0</v>
      </c>
      <c r="K728" s="1">
        <v>0.27</v>
      </c>
      <c r="L728" s="1">
        <v>0</v>
      </c>
      <c r="M728" s="1">
        <v>0</v>
      </c>
      <c r="N728" s="1">
        <v>-13394.99</v>
      </c>
      <c r="O728" s="1">
        <v>-16680.32</v>
      </c>
      <c r="P728" s="1">
        <v>9000</v>
      </c>
    </row>
    <row r="729" spans="1:16">
      <c r="A729" s="1" t="str">
        <f t="shared" si="296"/>
        <v>20160726</v>
      </c>
      <c r="B729" s="1"/>
      <c r="C729" s="1"/>
      <c r="D729" s="1" t="str">
        <f t="shared" si="295"/>
        <v>融资借入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13364.96</v>
      </c>
      <c r="O729" s="1">
        <v>-3315.36</v>
      </c>
      <c r="P729" s="1">
        <v>0</v>
      </c>
    </row>
    <row r="730" spans="1:16">
      <c r="A730" s="1" t="str">
        <f t="shared" si="296"/>
        <v>20160726</v>
      </c>
      <c r="B730" s="1"/>
      <c r="C730" s="1"/>
      <c r="D730" s="1" t="str">
        <f t="shared" si="295"/>
        <v>融资借入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13394.99</v>
      </c>
      <c r="O730" s="1">
        <v>10079.63</v>
      </c>
      <c r="P730" s="1">
        <v>0</v>
      </c>
    </row>
    <row r="731" spans="1:16">
      <c r="A731" s="1" t="str">
        <f>"20160727"</f>
        <v>20160727</v>
      </c>
      <c r="B731" s="1" t="str">
        <f>"510300"</f>
        <v>510300</v>
      </c>
      <c r="C731" s="1" t="str">
        <f>"300ETF"</f>
        <v>300ETF</v>
      </c>
      <c r="D731" s="1" t="str">
        <f>"担保品买入"</f>
        <v>担保品买入</v>
      </c>
      <c r="E731" s="1">
        <v>3.224</v>
      </c>
      <c r="F731" s="1">
        <v>3000</v>
      </c>
      <c r="G731" s="1">
        <v>9672</v>
      </c>
      <c r="H731" s="1">
        <v>5</v>
      </c>
      <c r="I731" s="1">
        <v>4.56</v>
      </c>
      <c r="J731" s="1">
        <v>0</v>
      </c>
      <c r="K731" s="1">
        <v>0</v>
      </c>
      <c r="L731" s="1">
        <v>0</v>
      </c>
      <c r="M731" s="1">
        <v>0</v>
      </c>
      <c r="N731" s="1">
        <v>-9677</v>
      </c>
      <c r="O731" s="1">
        <v>402.63</v>
      </c>
      <c r="P731" s="1">
        <v>3000</v>
      </c>
    </row>
    <row r="732" spans="1:16">
      <c r="A732" s="1" t="str">
        <f>"20160728"</f>
        <v>20160728</v>
      </c>
      <c r="B732" s="1" t="str">
        <f>"510300"</f>
        <v>510300</v>
      </c>
      <c r="C732" s="1" t="str">
        <f>"300ETF"</f>
        <v>300ETF</v>
      </c>
      <c r="D732" s="1" t="str">
        <f>"担保品卖出"</f>
        <v>担保品卖出</v>
      </c>
      <c r="E732" s="1">
        <v>3.275</v>
      </c>
      <c r="F732" s="1">
        <v>3000</v>
      </c>
      <c r="G732" s="1">
        <v>9825</v>
      </c>
      <c r="H732" s="1">
        <v>5</v>
      </c>
      <c r="I732" s="1">
        <v>4.56</v>
      </c>
      <c r="J732" s="1">
        <v>0</v>
      </c>
      <c r="K732" s="1">
        <v>0</v>
      </c>
      <c r="L732" s="1">
        <v>0</v>
      </c>
      <c r="M732" s="1">
        <v>0</v>
      </c>
      <c r="N732" s="1">
        <v>9820</v>
      </c>
      <c r="O732" s="1">
        <v>10222.63</v>
      </c>
      <c r="P732" s="1">
        <v>0</v>
      </c>
    </row>
    <row r="733" spans="1:16">
      <c r="A733" s="1" t="str">
        <f>"20160728"</f>
        <v>20160728</v>
      </c>
      <c r="B733" s="1" t="str">
        <f>"600575"</f>
        <v>600575</v>
      </c>
      <c r="C733" s="1" t="str">
        <f>"皖江物流"</f>
        <v>皖江物流</v>
      </c>
      <c r="D733" s="1" t="str">
        <f>"担保品买入"</f>
        <v>担保品买入</v>
      </c>
      <c r="E733" s="1">
        <v>4.28</v>
      </c>
      <c r="F733" s="1">
        <v>2300</v>
      </c>
      <c r="G733" s="1">
        <v>9844</v>
      </c>
      <c r="H733" s="1">
        <v>5</v>
      </c>
      <c r="I733" s="1">
        <v>4.32</v>
      </c>
      <c r="J733" s="1">
        <v>0</v>
      </c>
      <c r="K733" s="1">
        <v>0.2</v>
      </c>
      <c r="L733" s="1">
        <v>0</v>
      </c>
      <c r="M733" s="1">
        <v>0</v>
      </c>
      <c r="N733" s="1">
        <v>-9849.2</v>
      </c>
      <c r="O733" s="1">
        <v>373.43</v>
      </c>
      <c r="P733" s="1">
        <v>11300</v>
      </c>
    </row>
    <row r="734" spans="1:16">
      <c r="A734" s="1" t="str">
        <f t="shared" ref="A734:A736" si="297">"20160803"</f>
        <v>20160803</v>
      </c>
      <c r="B734" s="1"/>
      <c r="C734" s="1"/>
      <c r="D734" s="1" t="str">
        <f>"银行转证券"</f>
        <v>银行转证券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8475.74</v>
      </c>
      <c r="O734" s="1">
        <v>8849.17</v>
      </c>
      <c r="P734" s="1">
        <v>0</v>
      </c>
    </row>
    <row r="735" spans="1:16">
      <c r="A735" s="1" t="str">
        <f t="shared" si="297"/>
        <v>20160803</v>
      </c>
      <c r="B735" s="1"/>
      <c r="C735" s="1"/>
      <c r="D735" s="1" t="str">
        <f>"银行转证券"</f>
        <v>银行转证券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1000</v>
      </c>
      <c r="O735" s="1">
        <v>9849.17</v>
      </c>
      <c r="P735" s="1">
        <v>0</v>
      </c>
    </row>
    <row r="736" spans="1:16">
      <c r="A736" s="1" t="str">
        <f t="shared" si="297"/>
        <v>20160803</v>
      </c>
      <c r="B736" s="1" t="str">
        <f>"300535"</f>
        <v>300535</v>
      </c>
      <c r="C736" s="1"/>
      <c r="D736" s="1" t="str">
        <f>"配售缴款"</f>
        <v>配售缴款</v>
      </c>
      <c r="E736" s="1">
        <v>18.5</v>
      </c>
      <c r="F736" s="1">
        <v>500</v>
      </c>
      <c r="G736" s="1">
        <v>9250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-9250</v>
      </c>
      <c r="O736" s="1">
        <v>599.17</v>
      </c>
      <c r="P736" s="1">
        <v>0</v>
      </c>
    </row>
    <row r="737" spans="1:16">
      <c r="A737" s="1" t="str">
        <f>"20160805"</f>
        <v>20160805</v>
      </c>
      <c r="B737" s="1" t="str">
        <f>"300535"</f>
        <v>300535</v>
      </c>
      <c r="C737" s="1" t="str">
        <f>"达威股份"</f>
        <v>达威股份</v>
      </c>
      <c r="D737" s="1" t="str">
        <f>"新股入帐"</f>
        <v>新股入帐</v>
      </c>
      <c r="E737" s="1">
        <v>0</v>
      </c>
      <c r="F737" s="1">
        <v>500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599.17</v>
      </c>
      <c r="P737" s="1">
        <v>500</v>
      </c>
    </row>
    <row r="738" spans="1:16">
      <c r="A738" s="1" t="str">
        <f>"20160805"</f>
        <v>20160805</v>
      </c>
      <c r="B738" s="1" t="str">
        <f>"000667"</f>
        <v>000667</v>
      </c>
      <c r="C738" s="1" t="str">
        <f>"美好集团"</f>
        <v>美好集团</v>
      </c>
      <c r="D738" s="1" t="str">
        <f>"担保品卖出"</f>
        <v>担保品卖出</v>
      </c>
      <c r="E738" s="1">
        <v>3.88</v>
      </c>
      <c r="F738" s="1">
        <v>3000</v>
      </c>
      <c r="G738" s="1">
        <v>11640</v>
      </c>
      <c r="H738" s="1">
        <v>5</v>
      </c>
      <c r="I738" s="1">
        <v>3.97</v>
      </c>
      <c r="J738" s="1">
        <v>11.64</v>
      </c>
      <c r="K738" s="1">
        <v>0</v>
      </c>
      <c r="L738" s="1">
        <v>0</v>
      </c>
      <c r="M738" s="1">
        <v>0</v>
      </c>
      <c r="N738" s="1">
        <v>11623.36</v>
      </c>
      <c r="O738" s="1">
        <v>12222.53</v>
      </c>
      <c r="P738" s="1">
        <v>7000</v>
      </c>
    </row>
    <row r="739" spans="1:16">
      <c r="A739" s="1" t="str">
        <f>"20160808"</f>
        <v>20160808</v>
      </c>
      <c r="B739" s="1" t="str">
        <f>"000667"</f>
        <v>000667</v>
      </c>
      <c r="C739" s="1" t="str">
        <f>"美好集团"</f>
        <v>美好集团</v>
      </c>
      <c r="D739" s="1" t="str">
        <f>"股息红利差异扣税"</f>
        <v>股息红利差异扣税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-7.5</v>
      </c>
      <c r="O739" s="1">
        <v>12215.03</v>
      </c>
      <c r="P739" s="1">
        <v>0</v>
      </c>
    </row>
    <row r="740" spans="1:16">
      <c r="A740" s="1" t="str">
        <f>"20160810"</f>
        <v>20160810</v>
      </c>
      <c r="B740" s="1"/>
      <c r="C740" s="1"/>
      <c r="D740" s="1" t="str">
        <f>"银行转证券"</f>
        <v>银行转证券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29000</v>
      </c>
      <c r="O740" s="1">
        <v>41215.03</v>
      </c>
      <c r="P740" s="1">
        <v>0</v>
      </c>
    </row>
    <row r="741" spans="1:16">
      <c r="A741" s="1" t="str">
        <f>"20160811"</f>
        <v>20160811</v>
      </c>
      <c r="B741" s="1" t="str">
        <f>"600886"</f>
        <v>600886</v>
      </c>
      <c r="C741" s="1" t="str">
        <f>"国投电力"</f>
        <v>国投电力</v>
      </c>
      <c r="D741" s="1" t="str">
        <f>"担保品买入"</f>
        <v>担保品买入</v>
      </c>
      <c r="E741" s="1">
        <v>7.04</v>
      </c>
      <c r="F741" s="1">
        <v>5800</v>
      </c>
      <c r="G741" s="1">
        <v>40832</v>
      </c>
      <c r="H741" s="1">
        <v>12.66</v>
      </c>
      <c r="I741" s="1">
        <v>9.86</v>
      </c>
      <c r="J741" s="1">
        <v>0</v>
      </c>
      <c r="K741" s="1">
        <v>0.82</v>
      </c>
      <c r="L741" s="1">
        <v>0</v>
      </c>
      <c r="M741" s="1">
        <v>0</v>
      </c>
      <c r="N741" s="1">
        <v>-40845.48</v>
      </c>
      <c r="O741" s="1">
        <v>369.55</v>
      </c>
      <c r="P741" s="1">
        <v>26800</v>
      </c>
    </row>
    <row r="742" spans="1:16">
      <c r="A742" s="1" t="str">
        <f t="shared" ref="A742:A746" si="298">"20160815"</f>
        <v>20160815</v>
      </c>
      <c r="B742" s="1" t="str">
        <f>"600886"</f>
        <v>600886</v>
      </c>
      <c r="C742" s="1" t="str">
        <f>"国投电力"</f>
        <v>国投电力</v>
      </c>
      <c r="D742" s="1" t="str">
        <f>"担保品卖出"</f>
        <v>担保品卖出</v>
      </c>
      <c r="E742" s="1">
        <v>7.55</v>
      </c>
      <c r="F742" s="1">
        <v>2000</v>
      </c>
      <c r="G742" s="1">
        <v>15100</v>
      </c>
      <c r="H742" s="1">
        <v>5</v>
      </c>
      <c r="I742" s="1">
        <v>3.96</v>
      </c>
      <c r="J742" s="1">
        <v>15.1</v>
      </c>
      <c r="K742" s="1">
        <v>0.3</v>
      </c>
      <c r="L742" s="1">
        <v>0</v>
      </c>
      <c r="M742" s="1">
        <v>0</v>
      </c>
      <c r="N742" s="1">
        <v>15079.6</v>
      </c>
      <c r="O742" s="1">
        <v>15449.15</v>
      </c>
      <c r="P742" s="1">
        <v>24800</v>
      </c>
    </row>
    <row r="743" spans="1:16">
      <c r="A743" s="1" t="str">
        <f t="shared" si="298"/>
        <v>20160815</v>
      </c>
      <c r="B743" s="1"/>
      <c r="C743" s="1"/>
      <c r="D743" s="1" t="str">
        <f>"偿还融资负债本金"</f>
        <v>偿还融资负债本金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-482.37</v>
      </c>
      <c r="O743" s="1">
        <v>14966.78</v>
      </c>
      <c r="P743" s="1">
        <v>0</v>
      </c>
    </row>
    <row r="744" spans="1:16">
      <c r="A744" s="1" t="str">
        <f t="shared" si="298"/>
        <v>20160815</v>
      </c>
      <c r="B744" s="1"/>
      <c r="C744" s="1"/>
      <c r="D744" s="1" t="str">
        <f>"偿还融资负债本金"</f>
        <v>偿还融资负债本金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-12694.2</v>
      </c>
      <c r="O744" s="1">
        <v>2272.58</v>
      </c>
      <c r="P744" s="1">
        <v>0</v>
      </c>
    </row>
    <row r="745" spans="1:16">
      <c r="A745" s="1" t="str">
        <f t="shared" si="298"/>
        <v>20160815</v>
      </c>
      <c r="B745" s="1"/>
      <c r="C745" s="1"/>
      <c r="D745" s="1" t="str">
        <f t="shared" ref="D745:D750" si="299">"偿还融资利息"</f>
        <v>偿还融资利息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-4.51</v>
      </c>
      <c r="O745" s="1">
        <v>2268.07</v>
      </c>
      <c r="P745" s="1">
        <v>0</v>
      </c>
    </row>
    <row r="746" spans="1:16">
      <c r="A746" s="1" t="str">
        <f t="shared" si="298"/>
        <v>20160815</v>
      </c>
      <c r="B746" s="1"/>
      <c r="C746" s="1"/>
      <c r="D746" s="1" t="str">
        <f t="shared" si="299"/>
        <v>偿还融资利息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-344.16</v>
      </c>
      <c r="O746" s="1">
        <v>1923.91</v>
      </c>
      <c r="P746" s="1">
        <v>0</v>
      </c>
    </row>
    <row r="747" spans="1:16">
      <c r="A747" s="1" t="str">
        <f>"20160816"</f>
        <v>20160816</v>
      </c>
      <c r="B747" s="1" t="str">
        <f>"600886"</f>
        <v>600886</v>
      </c>
      <c r="C747" s="1" t="str">
        <f>"国投电力"</f>
        <v>国投电力</v>
      </c>
      <c r="D747" s="1" t="str">
        <f>"股息红利差异扣税"</f>
        <v>股息红利差异扣税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-55.99</v>
      </c>
      <c r="O747" s="1">
        <v>1867.92</v>
      </c>
      <c r="P747" s="1">
        <v>0</v>
      </c>
    </row>
    <row r="748" spans="1:16">
      <c r="A748" s="1" t="str">
        <f>"20160826"</f>
        <v>20160826</v>
      </c>
      <c r="B748" s="1"/>
      <c r="C748" s="1"/>
      <c r="D748" s="1" t="str">
        <f>"证券转银行"</f>
        <v>证券转银行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-1000</v>
      </c>
      <c r="O748" s="1">
        <v>867.92</v>
      </c>
      <c r="P748" s="1">
        <v>0</v>
      </c>
    </row>
    <row r="749" spans="1:16">
      <c r="A749" s="1" t="str">
        <f>"20160831"</f>
        <v>20160831</v>
      </c>
      <c r="B749" s="1"/>
      <c r="C749" s="1"/>
      <c r="D749" s="1" t="str">
        <f t="shared" ref="D749:D754" si="300">"偿还融资负债本金"</f>
        <v>偿还融资负债本金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-738.2</v>
      </c>
      <c r="O749" s="1">
        <v>0</v>
      </c>
      <c r="P749" s="1">
        <v>0</v>
      </c>
    </row>
    <row r="750" spans="1:16">
      <c r="A750" s="1" t="str">
        <f>"20160831"</f>
        <v>20160831</v>
      </c>
      <c r="B750" s="1"/>
      <c r="C750" s="1"/>
      <c r="D750" s="1" t="str">
        <f t="shared" si="299"/>
        <v>偿还融资利息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-129.72</v>
      </c>
      <c r="O750" s="1">
        <v>738.2</v>
      </c>
      <c r="P750" s="1">
        <v>0</v>
      </c>
    </row>
    <row r="751" spans="1:16">
      <c r="A751" s="1" t="str">
        <f t="shared" ref="A751:A757" si="301">"20160905"</f>
        <v>20160905</v>
      </c>
      <c r="B751" s="1" t="str">
        <f>"300535"</f>
        <v>300535</v>
      </c>
      <c r="C751" s="1" t="str">
        <f>"达威股份"</f>
        <v>达威股份</v>
      </c>
      <c r="D751" s="1" t="str">
        <f>"担保品卖出"</f>
        <v>担保品卖出</v>
      </c>
      <c r="E751" s="1">
        <v>120.546</v>
      </c>
      <c r="F751" s="1">
        <v>500</v>
      </c>
      <c r="G751" s="1">
        <v>60273</v>
      </c>
      <c r="H751" s="1">
        <v>18.68</v>
      </c>
      <c r="I751" s="1">
        <v>13.33</v>
      </c>
      <c r="J751" s="1">
        <v>60.27</v>
      </c>
      <c r="K751" s="1">
        <v>0</v>
      </c>
      <c r="L751" s="1">
        <v>0</v>
      </c>
      <c r="M751" s="1">
        <v>0</v>
      </c>
      <c r="N751" s="1">
        <v>60194.05</v>
      </c>
      <c r="O751" s="1">
        <v>60194.05</v>
      </c>
      <c r="P751" s="1">
        <v>0</v>
      </c>
    </row>
    <row r="752" spans="1:16">
      <c r="A752" s="1" t="str">
        <f t="shared" si="301"/>
        <v>20160905</v>
      </c>
      <c r="B752" s="1"/>
      <c r="C752" s="1"/>
      <c r="D752" s="1" t="str">
        <f t="shared" si="300"/>
        <v>偿还融资负债本金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-12566.69</v>
      </c>
      <c r="O752" s="1">
        <v>47612.8</v>
      </c>
      <c r="P752" s="1">
        <v>0</v>
      </c>
    </row>
    <row r="753" spans="1:16">
      <c r="A753" s="1" t="str">
        <f t="shared" si="301"/>
        <v>20160905</v>
      </c>
      <c r="B753" s="1"/>
      <c r="C753" s="1"/>
      <c r="D753" s="1" t="str">
        <f t="shared" ref="D753:D757" si="302">"偿还融资利息"</f>
        <v>偿还融资利息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-14.56</v>
      </c>
      <c r="O753" s="1">
        <v>60179.49</v>
      </c>
      <c r="P753" s="1">
        <v>0</v>
      </c>
    </row>
    <row r="754" spans="1:16">
      <c r="A754" s="1" t="str">
        <f t="shared" si="301"/>
        <v>20160905</v>
      </c>
      <c r="B754" s="1"/>
      <c r="C754" s="1"/>
      <c r="D754" s="1" t="str">
        <f t="shared" si="300"/>
        <v>偿还融资负债本金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-13394.99</v>
      </c>
      <c r="O754" s="1">
        <v>34090.36</v>
      </c>
      <c r="P754" s="1">
        <v>0</v>
      </c>
    </row>
    <row r="755" spans="1:16">
      <c r="A755" s="1" t="str">
        <f t="shared" si="301"/>
        <v>20160905</v>
      </c>
      <c r="B755" s="1"/>
      <c r="C755" s="1"/>
      <c r="D755" s="1" t="str">
        <f t="shared" si="302"/>
        <v>偿还融资利息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-127.45</v>
      </c>
      <c r="O755" s="1">
        <v>47485.35</v>
      </c>
      <c r="P755" s="1">
        <v>0</v>
      </c>
    </row>
    <row r="756" spans="1:16">
      <c r="A756" s="1" t="str">
        <f t="shared" si="301"/>
        <v>20160905</v>
      </c>
      <c r="B756" s="1"/>
      <c r="C756" s="1"/>
      <c r="D756" s="1" t="str">
        <f>"偿还融资负债本金"</f>
        <v>偿还融资负债本金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-13364.96</v>
      </c>
      <c r="O756" s="1">
        <v>20598.3</v>
      </c>
      <c r="P756" s="1">
        <v>0</v>
      </c>
    </row>
    <row r="757" spans="1:16">
      <c r="A757" s="1" t="str">
        <f t="shared" si="301"/>
        <v>20160905</v>
      </c>
      <c r="B757" s="1"/>
      <c r="C757" s="1"/>
      <c r="D757" s="1" t="str">
        <f t="shared" si="302"/>
        <v>偿还融资利息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-127.1</v>
      </c>
      <c r="O757" s="1">
        <v>33963.26</v>
      </c>
      <c r="P757" s="1">
        <v>0</v>
      </c>
    </row>
    <row r="758" spans="1:16">
      <c r="A758" s="1" t="str">
        <f>"20160909"</f>
        <v>20160909</v>
      </c>
      <c r="B758" s="1" t="str">
        <f>"600886"</f>
        <v>600886</v>
      </c>
      <c r="C758" s="1" t="str">
        <f>"国投电力"</f>
        <v>国投电力</v>
      </c>
      <c r="D758" s="1" t="str">
        <f>"担保品买入"</f>
        <v>担保品买入</v>
      </c>
      <c r="E758" s="1">
        <v>6.78</v>
      </c>
      <c r="F758" s="1">
        <v>2000</v>
      </c>
      <c r="G758" s="1">
        <v>13560</v>
      </c>
      <c r="H758" s="1">
        <v>5</v>
      </c>
      <c r="I758" s="1">
        <v>4.07</v>
      </c>
      <c r="J758" s="1">
        <v>0</v>
      </c>
      <c r="K758" s="1">
        <v>0.27</v>
      </c>
      <c r="L758" s="1">
        <v>0</v>
      </c>
      <c r="M758" s="1">
        <v>0</v>
      </c>
      <c r="N758" s="1">
        <v>-13565.27</v>
      </c>
      <c r="O758" s="1">
        <v>7033.03</v>
      </c>
      <c r="P758" s="1">
        <v>26800</v>
      </c>
    </row>
    <row r="759" spans="1:16">
      <c r="A759" s="1" t="str">
        <f t="shared" ref="A759:A762" si="303">"20160912"</f>
        <v>20160912</v>
      </c>
      <c r="B759" s="1"/>
      <c r="C759" s="1"/>
      <c r="D759" s="1" t="str">
        <f>"银行转证券"</f>
        <v>银行转证券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7000</v>
      </c>
      <c r="O759" s="1">
        <v>14033.03</v>
      </c>
      <c r="P759" s="1">
        <v>0</v>
      </c>
    </row>
    <row r="760" spans="1:16">
      <c r="A760" s="1" t="str">
        <f t="shared" si="303"/>
        <v>20160912</v>
      </c>
      <c r="B760" s="1" t="str">
        <f>"600886"</f>
        <v>600886</v>
      </c>
      <c r="C760" s="1" t="str">
        <f>"国投电力"</f>
        <v>国投电力</v>
      </c>
      <c r="D760" s="1" t="str">
        <f>"融资买入"</f>
        <v>融资买入</v>
      </c>
      <c r="E760" s="1">
        <v>6.66</v>
      </c>
      <c r="F760" s="1">
        <v>2000</v>
      </c>
      <c r="G760" s="1">
        <v>13320</v>
      </c>
      <c r="H760" s="1">
        <v>14.65</v>
      </c>
      <c r="I760" s="1">
        <v>13.73</v>
      </c>
      <c r="J760" s="1">
        <v>0</v>
      </c>
      <c r="K760" s="1">
        <v>0.27</v>
      </c>
      <c r="L760" s="1">
        <v>0</v>
      </c>
      <c r="M760" s="1">
        <v>0</v>
      </c>
      <c r="N760" s="1">
        <v>-13334.92</v>
      </c>
      <c r="O760" s="1">
        <v>698.11</v>
      </c>
      <c r="P760" s="1">
        <v>28800</v>
      </c>
    </row>
    <row r="761" spans="1:16">
      <c r="A761" s="1" t="str">
        <f t="shared" si="303"/>
        <v>20160912</v>
      </c>
      <c r="B761" s="1"/>
      <c r="C761" s="1"/>
      <c r="D761" s="1" t="str">
        <f>"融资借入"</f>
        <v>融资借入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13334.92</v>
      </c>
      <c r="O761" s="1">
        <v>14033.03</v>
      </c>
      <c r="P761" s="1">
        <v>0</v>
      </c>
    </row>
    <row r="762" spans="1:16">
      <c r="A762" s="1" t="str">
        <f t="shared" si="303"/>
        <v>20160912</v>
      </c>
      <c r="B762" s="1"/>
      <c r="C762" s="1"/>
      <c r="D762" s="1" t="str">
        <f>"偿还融资负债本金"</f>
        <v>偿还融资负债本金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-13334.92</v>
      </c>
      <c r="O762" s="1">
        <v>698.11</v>
      </c>
      <c r="P762" s="1">
        <v>0</v>
      </c>
    </row>
    <row r="763" spans="1:16">
      <c r="A763" s="1" t="str">
        <f>"20160920"</f>
        <v>20160920</v>
      </c>
      <c r="B763" s="1"/>
      <c r="C763" s="1"/>
      <c r="D763" s="1" t="str">
        <f>"利息归本"</f>
        <v>利息归本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5.59</v>
      </c>
      <c r="O763" s="1">
        <v>703.7</v>
      </c>
      <c r="P763" s="1">
        <v>0</v>
      </c>
    </row>
    <row r="764" spans="1:16">
      <c r="A764" s="1" t="str">
        <f>"20161017"</f>
        <v>20161017</v>
      </c>
      <c r="B764" s="1"/>
      <c r="C764" s="1"/>
      <c r="D764" s="1" t="str">
        <f>"银行转证券"</f>
        <v>银行转证券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30000</v>
      </c>
      <c r="O764" s="1">
        <v>30703.7</v>
      </c>
      <c r="P764" s="1">
        <v>0</v>
      </c>
    </row>
    <row r="765" spans="1:16">
      <c r="A765" s="1" t="str">
        <f>"20161017"</f>
        <v>20161017</v>
      </c>
      <c r="B765" s="1"/>
      <c r="C765" s="1"/>
      <c r="D765" s="1" t="str">
        <f>"证券转银行"</f>
        <v>证券转银行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-30000</v>
      </c>
      <c r="O765" s="1">
        <v>703.7</v>
      </c>
      <c r="P765" s="1">
        <v>0</v>
      </c>
    </row>
    <row r="766" spans="1:16">
      <c r="A766" s="1" t="str">
        <f>"20161024"</f>
        <v>20161024</v>
      </c>
      <c r="B766" s="1" t="str">
        <f>"600886"</f>
        <v>600886</v>
      </c>
      <c r="C766" s="1" t="str">
        <f>"国投电力"</f>
        <v>国投电力</v>
      </c>
      <c r="D766" s="1" t="str">
        <f>"担保品卖出"</f>
        <v>担保品卖出</v>
      </c>
      <c r="E766" s="1">
        <v>6.75</v>
      </c>
      <c r="F766" s="1">
        <v>4000</v>
      </c>
      <c r="G766" s="1">
        <v>27000</v>
      </c>
      <c r="H766" s="1">
        <v>8.37</v>
      </c>
      <c r="I766" s="1">
        <v>6.52</v>
      </c>
      <c r="J766" s="1">
        <v>27.01</v>
      </c>
      <c r="K766" s="1">
        <v>0.54</v>
      </c>
      <c r="L766" s="1">
        <v>0</v>
      </c>
      <c r="M766" s="1">
        <v>0</v>
      </c>
      <c r="N766" s="1">
        <v>26964.08</v>
      </c>
      <c r="O766" s="1">
        <v>27667.78</v>
      </c>
      <c r="P766" s="1">
        <v>24800</v>
      </c>
    </row>
    <row r="767" spans="1:16">
      <c r="A767" s="1" t="str">
        <f>"20161024"</f>
        <v>20161024</v>
      </c>
      <c r="B767" s="1" t="str">
        <f t="shared" ref="B767:B771" si="304">"600575"</f>
        <v>600575</v>
      </c>
      <c r="C767" s="1" t="str">
        <f t="shared" ref="C767:C771" si="305">"皖江物流"</f>
        <v>皖江物流</v>
      </c>
      <c r="D767" s="1" t="str">
        <f t="shared" ref="D767:D771" si="306">"担保品买入"</f>
        <v>担保品买入</v>
      </c>
      <c r="E767" s="1">
        <v>4.51</v>
      </c>
      <c r="F767" s="1">
        <v>6000</v>
      </c>
      <c r="G767" s="1">
        <v>27060</v>
      </c>
      <c r="H767" s="1">
        <v>8.39</v>
      </c>
      <c r="I767" s="1">
        <v>6.53</v>
      </c>
      <c r="J767" s="1">
        <v>0</v>
      </c>
      <c r="K767" s="1">
        <v>0.54</v>
      </c>
      <c r="L767" s="1">
        <v>0</v>
      </c>
      <c r="M767" s="1">
        <v>0</v>
      </c>
      <c r="N767" s="1">
        <v>-27068.93</v>
      </c>
      <c r="O767" s="1">
        <v>598.85</v>
      </c>
      <c r="P767" s="1">
        <v>17300</v>
      </c>
    </row>
    <row r="768" spans="1:16">
      <c r="A768" s="1" t="str">
        <f>"20161025"</f>
        <v>20161025</v>
      </c>
      <c r="B768" s="1" t="str">
        <f>"600886"</f>
        <v>600886</v>
      </c>
      <c r="C768" s="1" t="str">
        <f>"国投电力"</f>
        <v>国投电力</v>
      </c>
      <c r="D768" s="1" t="str">
        <f>"股息红利差异扣税"</f>
        <v>股息红利差异扣税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-111.97</v>
      </c>
      <c r="O768" s="1">
        <v>486.88</v>
      </c>
      <c r="P768" s="1">
        <v>0</v>
      </c>
    </row>
    <row r="769" spans="1:16">
      <c r="A769" s="1" t="str">
        <f>"20161103"</f>
        <v>20161103</v>
      </c>
      <c r="B769" s="1" t="str">
        <f t="shared" si="304"/>
        <v>600575</v>
      </c>
      <c r="C769" s="1" t="str">
        <f t="shared" si="305"/>
        <v>皖江物流</v>
      </c>
      <c r="D769" s="1" t="str">
        <f>"担保品卖出"</f>
        <v>担保品卖出</v>
      </c>
      <c r="E769" s="1">
        <v>4.54</v>
      </c>
      <c r="F769" s="1">
        <v>6000</v>
      </c>
      <c r="G769" s="1">
        <v>27240</v>
      </c>
      <c r="H769" s="1">
        <v>8.44</v>
      </c>
      <c r="I769" s="1">
        <v>6.57</v>
      </c>
      <c r="J769" s="1">
        <v>27.24</v>
      </c>
      <c r="K769" s="1">
        <v>0.54</v>
      </c>
      <c r="L769" s="1">
        <v>0</v>
      </c>
      <c r="M769" s="1">
        <v>0</v>
      </c>
      <c r="N769" s="1">
        <v>27203.78</v>
      </c>
      <c r="O769" s="1">
        <v>27690.66</v>
      </c>
      <c r="P769" s="1">
        <v>11300</v>
      </c>
    </row>
    <row r="770" spans="1:16">
      <c r="A770" s="1" t="str">
        <f>"20161109"</f>
        <v>20161109</v>
      </c>
      <c r="B770" s="1" t="str">
        <f t="shared" ref="B770:B773" si="307">"000667"</f>
        <v>000667</v>
      </c>
      <c r="C770" s="1" t="str">
        <f t="shared" ref="C770:C773" si="308">"美好置业"</f>
        <v>美好置业</v>
      </c>
      <c r="D770" s="1" t="str">
        <f t="shared" si="306"/>
        <v>担保品买入</v>
      </c>
      <c r="E770" s="1">
        <v>3.91</v>
      </c>
      <c r="F770" s="1">
        <v>3000</v>
      </c>
      <c r="G770" s="1">
        <v>11730</v>
      </c>
      <c r="H770" s="1">
        <v>5</v>
      </c>
      <c r="I770" s="1">
        <v>3.97</v>
      </c>
      <c r="J770" s="1">
        <v>0</v>
      </c>
      <c r="K770" s="1">
        <v>0</v>
      </c>
      <c r="L770" s="1">
        <v>0</v>
      </c>
      <c r="M770" s="1">
        <v>0</v>
      </c>
      <c r="N770" s="1">
        <v>-11735</v>
      </c>
      <c r="O770" s="1">
        <v>15955.66</v>
      </c>
      <c r="P770" s="1">
        <v>10000</v>
      </c>
    </row>
    <row r="771" spans="1:16">
      <c r="A771" s="1" t="str">
        <f>"20161109"</f>
        <v>20161109</v>
      </c>
      <c r="B771" s="1" t="str">
        <f t="shared" si="304"/>
        <v>600575</v>
      </c>
      <c r="C771" s="1" t="str">
        <f t="shared" si="305"/>
        <v>皖江物流</v>
      </c>
      <c r="D771" s="1" t="str">
        <f t="shared" si="306"/>
        <v>担保品买入</v>
      </c>
      <c r="E771" s="1">
        <v>4.57</v>
      </c>
      <c r="F771" s="1">
        <v>3400</v>
      </c>
      <c r="G771" s="1">
        <v>15538</v>
      </c>
      <c r="H771" s="1">
        <v>5</v>
      </c>
      <c r="I771" s="1">
        <v>3.94</v>
      </c>
      <c r="J771" s="1">
        <v>0</v>
      </c>
      <c r="K771" s="1">
        <v>0.31</v>
      </c>
      <c r="L771" s="1">
        <v>0</v>
      </c>
      <c r="M771" s="1">
        <v>0</v>
      </c>
      <c r="N771" s="1">
        <v>-15543.31</v>
      </c>
      <c r="O771" s="1">
        <v>412.35</v>
      </c>
      <c r="P771" s="1">
        <v>14700</v>
      </c>
    </row>
    <row r="772" spans="1:16">
      <c r="A772" s="1" t="str">
        <f>"20161110"</f>
        <v>20161110</v>
      </c>
      <c r="B772" s="1" t="str">
        <f t="shared" si="307"/>
        <v>000667</v>
      </c>
      <c r="C772" s="1" t="str">
        <f t="shared" si="308"/>
        <v>美好置业</v>
      </c>
      <c r="D772" s="1" t="str">
        <f>"担保品卖出"</f>
        <v>担保品卖出</v>
      </c>
      <c r="E772" s="1">
        <v>3.95</v>
      </c>
      <c r="F772" s="1">
        <v>3000</v>
      </c>
      <c r="G772" s="1">
        <v>11850</v>
      </c>
      <c r="H772" s="1">
        <v>5</v>
      </c>
      <c r="I772" s="1">
        <v>3.94</v>
      </c>
      <c r="J772" s="1">
        <v>11.85</v>
      </c>
      <c r="K772" s="1">
        <v>0</v>
      </c>
      <c r="L772" s="1">
        <v>0</v>
      </c>
      <c r="M772" s="1">
        <v>0</v>
      </c>
      <c r="N772" s="1">
        <v>11833.15</v>
      </c>
      <c r="O772" s="1">
        <v>12245.5</v>
      </c>
      <c r="P772" s="1">
        <v>7000</v>
      </c>
    </row>
    <row r="773" spans="1:16">
      <c r="A773" s="1" t="str">
        <f t="shared" ref="A773:A775" si="309">"20161111"</f>
        <v>20161111</v>
      </c>
      <c r="B773" s="1" t="str">
        <f t="shared" si="307"/>
        <v>000667</v>
      </c>
      <c r="C773" s="1" t="str">
        <f t="shared" si="308"/>
        <v>美好置业</v>
      </c>
      <c r="D773" s="1" t="str">
        <f>"股息红利差异扣税"</f>
        <v>股息红利差异扣税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-7.5</v>
      </c>
      <c r="O773" s="1">
        <v>12238</v>
      </c>
      <c r="P773" s="1">
        <v>0</v>
      </c>
    </row>
    <row r="774" spans="1:16">
      <c r="A774" s="1" t="str">
        <f t="shared" si="309"/>
        <v>20161111</v>
      </c>
      <c r="B774" s="1" t="str">
        <f>"600066"</f>
        <v>600066</v>
      </c>
      <c r="C774" s="1" t="str">
        <f>"宇通客车"</f>
        <v>宇通客车</v>
      </c>
      <c r="D774" s="1" t="str">
        <f>"融资买入"</f>
        <v>融资买入</v>
      </c>
      <c r="E774" s="1">
        <v>20.1</v>
      </c>
      <c r="F774" s="1">
        <v>1000</v>
      </c>
      <c r="G774" s="1">
        <v>20100</v>
      </c>
      <c r="H774" s="1">
        <v>22.11</v>
      </c>
      <c r="I774" s="1">
        <v>20.73</v>
      </c>
      <c r="J774" s="1">
        <v>0</v>
      </c>
      <c r="K774" s="1">
        <v>0.4</v>
      </c>
      <c r="L774" s="1">
        <v>0</v>
      </c>
      <c r="M774" s="1">
        <v>0</v>
      </c>
      <c r="N774" s="1">
        <v>-20122.51</v>
      </c>
      <c r="O774" s="1">
        <v>-7884.51</v>
      </c>
      <c r="P774" s="1">
        <v>1500</v>
      </c>
    </row>
    <row r="775" spans="1:16">
      <c r="A775" s="1" t="str">
        <f t="shared" si="309"/>
        <v>20161111</v>
      </c>
      <c r="B775" s="1"/>
      <c r="C775" s="1"/>
      <c r="D775" s="1" t="str">
        <f>"融资借入"</f>
        <v>融资借入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20122.51</v>
      </c>
      <c r="O775" s="1">
        <v>12238</v>
      </c>
      <c r="P775" s="1">
        <v>0</v>
      </c>
    </row>
    <row r="776" spans="1:16">
      <c r="A776" s="1" t="str">
        <f t="shared" ref="A776:A779" si="310">"20161115"</f>
        <v>20161115</v>
      </c>
      <c r="B776" s="1"/>
      <c r="C776" s="1"/>
      <c r="D776" s="1" t="str">
        <f>"证券转银行"</f>
        <v>证券转银行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-9000</v>
      </c>
      <c r="O776" s="1">
        <v>3238</v>
      </c>
      <c r="P776" s="1">
        <v>0</v>
      </c>
    </row>
    <row r="777" spans="1:16">
      <c r="A777" s="1" t="str">
        <f t="shared" si="310"/>
        <v>20161115</v>
      </c>
      <c r="B777" s="1" t="str">
        <f t="shared" ref="B777:B783" si="311">"600066"</f>
        <v>600066</v>
      </c>
      <c r="C777" s="1" t="str">
        <f t="shared" ref="C777:C783" si="312">"宇通客车"</f>
        <v>宇通客车</v>
      </c>
      <c r="D777" s="1" t="str">
        <f>"担保品卖出"</f>
        <v>担保品卖出</v>
      </c>
      <c r="E777" s="1">
        <v>20.37</v>
      </c>
      <c r="F777" s="1">
        <v>1000</v>
      </c>
      <c r="G777" s="1">
        <v>20370</v>
      </c>
      <c r="H777" s="1">
        <v>6.31</v>
      </c>
      <c r="I777" s="1">
        <v>4.91</v>
      </c>
      <c r="J777" s="1">
        <v>20.37</v>
      </c>
      <c r="K777" s="1">
        <v>0.41</v>
      </c>
      <c r="L777" s="1">
        <v>0</v>
      </c>
      <c r="M777" s="1">
        <v>0</v>
      </c>
      <c r="N777" s="1">
        <v>20342.91</v>
      </c>
      <c r="O777" s="1">
        <v>23580.91</v>
      </c>
      <c r="P777" s="1">
        <v>500</v>
      </c>
    </row>
    <row r="778" spans="1:16">
      <c r="A778" s="1" t="str">
        <f t="shared" si="310"/>
        <v>20161115</v>
      </c>
      <c r="B778" s="1"/>
      <c r="C778" s="1"/>
      <c r="D778" s="1" t="str">
        <f>"偿还融资负债本金"</f>
        <v>偿还融资负债本金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-20122.51</v>
      </c>
      <c r="O778" s="1">
        <v>3458.4</v>
      </c>
      <c r="P778" s="1">
        <v>0</v>
      </c>
    </row>
    <row r="779" spans="1:16">
      <c r="A779" s="1" t="str">
        <f t="shared" si="310"/>
        <v>20161115</v>
      </c>
      <c r="B779" s="1"/>
      <c r="C779" s="1"/>
      <c r="D779" s="1" t="str">
        <f>"偿还融资利息"</f>
        <v>偿还融资利息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-18.67</v>
      </c>
      <c r="O779" s="1">
        <v>3439.73</v>
      </c>
      <c r="P779" s="1">
        <v>0</v>
      </c>
    </row>
    <row r="780" spans="1:16">
      <c r="A780" s="1" t="str">
        <f>"20161116"</f>
        <v>20161116</v>
      </c>
      <c r="B780" s="1" t="str">
        <f t="shared" si="311"/>
        <v>600066</v>
      </c>
      <c r="C780" s="1" t="str">
        <f t="shared" si="312"/>
        <v>宇通客车</v>
      </c>
      <c r="D780" s="1" t="str">
        <f>"股息红利差异扣税"</f>
        <v>股息红利差异扣税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-75</v>
      </c>
      <c r="O780" s="1">
        <v>3364.73</v>
      </c>
      <c r="P780" s="1">
        <v>0</v>
      </c>
    </row>
    <row r="781" spans="1:16">
      <c r="A781" s="1" t="str">
        <f>"20161117"</f>
        <v>20161117</v>
      </c>
      <c r="B781" s="1"/>
      <c r="C781" s="1"/>
      <c r="D781" s="1" t="str">
        <f>"证券转银行"</f>
        <v>证券转银行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-3364.73</v>
      </c>
      <c r="O781" s="1">
        <v>0</v>
      </c>
      <c r="P781" s="1">
        <v>0</v>
      </c>
    </row>
    <row r="782" spans="1:16">
      <c r="A782" s="1" t="str">
        <f t="shared" ref="A782:A785" si="313">"20161124"</f>
        <v>20161124</v>
      </c>
      <c r="B782" s="1" t="str">
        <f t="shared" si="311"/>
        <v>600066</v>
      </c>
      <c r="C782" s="1" t="str">
        <f t="shared" si="312"/>
        <v>宇通客车</v>
      </c>
      <c r="D782" s="1" t="str">
        <f>"融资买入"</f>
        <v>融资买入</v>
      </c>
      <c r="E782" s="1">
        <v>20.55</v>
      </c>
      <c r="F782" s="1">
        <v>1500</v>
      </c>
      <c r="G782" s="1">
        <v>30825</v>
      </c>
      <c r="H782" s="1">
        <v>33.91</v>
      </c>
      <c r="I782" s="1">
        <v>31.79</v>
      </c>
      <c r="J782" s="1">
        <v>0</v>
      </c>
      <c r="K782" s="1">
        <v>0.62</v>
      </c>
      <c r="L782" s="1">
        <v>0</v>
      </c>
      <c r="M782" s="1">
        <v>0</v>
      </c>
      <c r="N782" s="1">
        <v>-30859.53</v>
      </c>
      <c r="O782" s="1">
        <v>-30859.53</v>
      </c>
      <c r="P782" s="1">
        <v>2000</v>
      </c>
    </row>
    <row r="783" spans="1:16">
      <c r="A783" s="1" t="str">
        <f t="shared" si="313"/>
        <v>20161124</v>
      </c>
      <c r="B783" s="1" t="str">
        <f t="shared" si="311"/>
        <v>600066</v>
      </c>
      <c r="C783" s="1" t="str">
        <f t="shared" si="312"/>
        <v>宇通客车</v>
      </c>
      <c r="D783" s="1" t="str">
        <f t="shared" ref="D783:D787" si="314">"担保品卖出"</f>
        <v>担保品卖出</v>
      </c>
      <c r="E783" s="1">
        <v>20.78</v>
      </c>
      <c r="F783" s="1">
        <v>500</v>
      </c>
      <c r="G783" s="1">
        <v>10390</v>
      </c>
      <c r="H783" s="1">
        <v>5</v>
      </c>
      <c r="I783" s="1">
        <v>4.28</v>
      </c>
      <c r="J783" s="1">
        <v>10.39</v>
      </c>
      <c r="K783" s="1">
        <v>0.21</v>
      </c>
      <c r="L783" s="1">
        <v>0</v>
      </c>
      <c r="M783" s="1">
        <v>0</v>
      </c>
      <c r="N783" s="1">
        <v>10374.4</v>
      </c>
      <c r="O783" s="1">
        <v>-20485.13</v>
      </c>
      <c r="P783" s="1">
        <v>1500</v>
      </c>
    </row>
    <row r="784" spans="1:16">
      <c r="A784" s="1" t="str">
        <f t="shared" si="313"/>
        <v>20161124</v>
      </c>
      <c r="B784" s="1"/>
      <c r="C784" s="1"/>
      <c r="D784" s="1" t="str">
        <f>"融资借入"</f>
        <v>融资借入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30859.53</v>
      </c>
      <c r="O784" s="1">
        <v>10374.4</v>
      </c>
      <c r="P784" s="1">
        <v>0</v>
      </c>
    </row>
    <row r="785" spans="1:16">
      <c r="A785" s="1" t="str">
        <f t="shared" si="313"/>
        <v>20161124</v>
      </c>
      <c r="B785" s="1"/>
      <c r="C785" s="1"/>
      <c r="D785" s="1" t="str">
        <f>"偿还融资负债本金"</f>
        <v>偿还融资负债本金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-10348.13</v>
      </c>
      <c r="O785" s="1">
        <v>26.27</v>
      </c>
      <c r="P785" s="1">
        <v>0</v>
      </c>
    </row>
    <row r="786" spans="1:16">
      <c r="A786" s="1" t="str">
        <f t="shared" ref="A786:A789" si="315">"20161125"</f>
        <v>20161125</v>
      </c>
      <c r="B786" s="1" t="str">
        <f>"600575"</f>
        <v>600575</v>
      </c>
      <c r="C786" s="1" t="str">
        <f>"皖江物流"</f>
        <v>皖江物流</v>
      </c>
      <c r="D786" s="1" t="str">
        <f t="shared" si="314"/>
        <v>担保品卖出</v>
      </c>
      <c r="E786" s="1">
        <v>5.85</v>
      </c>
      <c r="F786" s="1">
        <v>3100</v>
      </c>
      <c r="G786" s="1">
        <v>18135</v>
      </c>
      <c r="H786" s="1">
        <v>5.62</v>
      </c>
      <c r="I786" s="1">
        <v>4.38</v>
      </c>
      <c r="J786" s="1">
        <v>18.14</v>
      </c>
      <c r="K786" s="1">
        <v>0.36</v>
      </c>
      <c r="L786" s="1">
        <v>0</v>
      </c>
      <c r="M786" s="1">
        <v>0</v>
      </c>
      <c r="N786" s="1">
        <v>18110.88</v>
      </c>
      <c r="O786" s="1">
        <v>18137.15</v>
      </c>
      <c r="P786" s="1">
        <v>11600</v>
      </c>
    </row>
    <row r="787" spans="1:16">
      <c r="A787" s="1" t="str">
        <f t="shared" si="315"/>
        <v>20161125</v>
      </c>
      <c r="B787" s="1" t="str">
        <f>"600066"</f>
        <v>600066</v>
      </c>
      <c r="C787" s="1" t="str">
        <f>"宇通客车"</f>
        <v>宇通客车</v>
      </c>
      <c r="D787" s="1" t="str">
        <f t="shared" si="314"/>
        <v>担保品卖出</v>
      </c>
      <c r="E787" s="1">
        <v>20.76</v>
      </c>
      <c r="F787" s="1">
        <v>1000</v>
      </c>
      <c r="G787" s="1">
        <v>20760</v>
      </c>
      <c r="H787" s="1">
        <v>6.44</v>
      </c>
      <c r="I787" s="1">
        <v>5.01</v>
      </c>
      <c r="J787" s="1">
        <v>20.76</v>
      </c>
      <c r="K787" s="1">
        <v>0.42</v>
      </c>
      <c r="L787" s="1">
        <v>0</v>
      </c>
      <c r="M787" s="1">
        <v>0</v>
      </c>
      <c r="N787" s="1">
        <v>20732.38</v>
      </c>
      <c r="O787" s="1">
        <v>38869.53</v>
      </c>
      <c r="P787" s="1">
        <v>500</v>
      </c>
    </row>
    <row r="788" spans="1:16">
      <c r="A788" s="1" t="str">
        <f t="shared" si="315"/>
        <v>20161125</v>
      </c>
      <c r="B788" s="1"/>
      <c r="C788" s="1"/>
      <c r="D788" s="1" t="str">
        <f>"偿还融资利息"</f>
        <v>偿还融资利息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-4.76</v>
      </c>
      <c r="O788" s="1">
        <v>38864.77</v>
      </c>
      <c r="P788" s="1">
        <v>0</v>
      </c>
    </row>
    <row r="789" spans="1:16">
      <c r="A789" s="1" t="str">
        <f t="shared" si="315"/>
        <v>20161125</v>
      </c>
      <c r="B789" s="1"/>
      <c r="C789" s="1"/>
      <c r="D789" s="1" t="str">
        <f>"偿还融资负债本金"</f>
        <v>偿还融资负债本金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-20511.4</v>
      </c>
      <c r="O789" s="1">
        <v>18353.37</v>
      </c>
      <c r="P789" s="1">
        <v>0</v>
      </c>
    </row>
    <row r="790" spans="1:16">
      <c r="A790" s="1" t="str">
        <f>"20161201"</f>
        <v>20161201</v>
      </c>
      <c r="B790" s="1" t="str">
        <f>"601000"</f>
        <v>601000</v>
      </c>
      <c r="C790" s="1" t="str">
        <f>"唐山港"</f>
        <v>唐山港</v>
      </c>
      <c r="D790" s="1" t="str">
        <f>"融资买入"</f>
        <v>融资买入</v>
      </c>
      <c r="E790" s="1">
        <v>4.36</v>
      </c>
      <c r="F790" s="1">
        <v>10000</v>
      </c>
      <c r="G790" s="1">
        <v>43600</v>
      </c>
      <c r="H790" s="1">
        <v>47.96</v>
      </c>
      <c r="I790" s="1">
        <v>44.96</v>
      </c>
      <c r="J790" s="1">
        <v>0</v>
      </c>
      <c r="K790" s="1">
        <v>0.87</v>
      </c>
      <c r="L790" s="1">
        <v>0</v>
      </c>
      <c r="M790" s="1">
        <v>0</v>
      </c>
      <c r="N790" s="1">
        <v>-43648.83</v>
      </c>
      <c r="O790" s="1">
        <v>-25295.46</v>
      </c>
      <c r="P790" s="1">
        <v>10000</v>
      </c>
    </row>
    <row r="791" spans="1:16">
      <c r="A791" s="1" t="str">
        <f>"20161201"</f>
        <v>20161201</v>
      </c>
      <c r="B791" s="1"/>
      <c r="C791" s="1"/>
      <c r="D791" s="1" t="str">
        <f>"融资借入"</f>
        <v>融资借入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43648.83</v>
      </c>
      <c r="O791" s="1">
        <v>18353.37</v>
      </c>
      <c r="P791" s="1">
        <v>0</v>
      </c>
    </row>
    <row r="792" spans="1:16">
      <c r="A792" s="1" t="str">
        <f>"20161205"</f>
        <v>20161205</v>
      </c>
      <c r="B792" s="1" t="str">
        <f>"510300"</f>
        <v>510300</v>
      </c>
      <c r="C792" s="1" t="str">
        <f>"300ETF"</f>
        <v>300ETF</v>
      </c>
      <c r="D792" s="1" t="str">
        <f>"担保品买入"</f>
        <v>担保品买入</v>
      </c>
      <c r="E792" s="1">
        <v>3.527</v>
      </c>
      <c r="F792" s="1">
        <v>5100</v>
      </c>
      <c r="G792" s="1">
        <v>17987.7</v>
      </c>
      <c r="H792" s="1">
        <v>5.58</v>
      </c>
      <c r="I792" s="1">
        <v>4.77</v>
      </c>
      <c r="J792" s="1">
        <v>0</v>
      </c>
      <c r="K792" s="1">
        <v>0</v>
      </c>
      <c r="L792" s="1">
        <v>0</v>
      </c>
      <c r="M792" s="1">
        <v>0</v>
      </c>
      <c r="N792" s="1">
        <v>-17993.28</v>
      </c>
      <c r="O792" s="1">
        <v>360.09</v>
      </c>
      <c r="P792" s="1">
        <v>5100</v>
      </c>
    </row>
    <row r="793" spans="1:16">
      <c r="A793" s="1" t="str">
        <f>"20161207"</f>
        <v>20161207</v>
      </c>
      <c r="B793" s="1" t="str">
        <f>"510300"</f>
        <v>510300</v>
      </c>
      <c r="C793" s="1" t="str">
        <f>"300ETF"</f>
        <v>300ETF</v>
      </c>
      <c r="D793" s="1" t="str">
        <f>"担保品卖出"</f>
        <v>担保品卖出</v>
      </c>
      <c r="E793" s="1">
        <v>3.51</v>
      </c>
      <c r="F793" s="1">
        <v>5100</v>
      </c>
      <c r="G793" s="1">
        <v>17900</v>
      </c>
      <c r="H793" s="1">
        <v>5.55</v>
      </c>
      <c r="I793" s="1">
        <v>4.74</v>
      </c>
      <c r="J793" s="1">
        <v>0</v>
      </c>
      <c r="K793" s="1">
        <v>0</v>
      </c>
      <c r="L793" s="1">
        <v>0</v>
      </c>
      <c r="M793" s="1">
        <v>0</v>
      </c>
      <c r="N793" s="1">
        <v>17894.45</v>
      </c>
      <c r="O793" s="1">
        <v>18254.54</v>
      </c>
      <c r="P793" s="1">
        <v>0</v>
      </c>
    </row>
    <row r="794" spans="1:16">
      <c r="A794" s="1" t="str">
        <f>"20161215"</f>
        <v>20161215</v>
      </c>
      <c r="B794" s="1" t="str">
        <f>"511990"</f>
        <v>511990</v>
      </c>
      <c r="C794" s="1" t="str">
        <f>"华宝添益"</f>
        <v>华宝添益</v>
      </c>
      <c r="D794" s="1" t="str">
        <f>"担保品买入"</f>
        <v>担保品买入</v>
      </c>
      <c r="E794" s="1">
        <v>99.859</v>
      </c>
      <c r="F794" s="1">
        <v>100</v>
      </c>
      <c r="G794" s="1">
        <v>9985.9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-9985.9</v>
      </c>
      <c r="O794" s="1">
        <v>8268.64</v>
      </c>
      <c r="P794" s="1">
        <v>100</v>
      </c>
    </row>
    <row r="795" spans="1:16">
      <c r="A795" s="1" t="str">
        <f t="shared" ref="A795:A797" si="316">"20161219"</f>
        <v>20161219</v>
      </c>
      <c r="B795" s="1" t="str">
        <f>"600575"</f>
        <v>600575</v>
      </c>
      <c r="C795" s="1" t="str">
        <f>"皖江物流"</f>
        <v>皖江物流</v>
      </c>
      <c r="D795" s="1" t="str">
        <f>"担保品卖出"</f>
        <v>担保品卖出</v>
      </c>
      <c r="E795" s="1">
        <v>5.76</v>
      </c>
      <c r="F795" s="1">
        <v>11600</v>
      </c>
      <c r="G795" s="1">
        <v>66816</v>
      </c>
      <c r="H795" s="1">
        <v>20.71</v>
      </c>
      <c r="I795" s="1">
        <v>16.12</v>
      </c>
      <c r="J795" s="1">
        <v>66.82</v>
      </c>
      <c r="K795" s="1">
        <v>1.34</v>
      </c>
      <c r="L795" s="1">
        <v>0</v>
      </c>
      <c r="M795" s="1">
        <v>0</v>
      </c>
      <c r="N795" s="1">
        <v>66727.13</v>
      </c>
      <c r="O795" s="1">
        <v>74995.77</v>
      </c>
      <c r="P795" s="1">
        <v>0</v>
      </c>
    </row>
    <row r="796" spans="1:16">
      <c r="A796" s="1" t="str">
        <f t="shared" si="316"/>
        <v>20161219</v>
      </c>
      <c r="B796" s="1"/>
      <c r="C796" s="1"/>
      <c r="D796" s="1" t="str">
        <f>"偿还融资负债本金"</f>
        <v>偿还融资负债本金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-43648.83</v>
      </c>
      <c r="O796" s="1">
        <v>31164.75</v>
      </c>
      <c r="P796" s="1">
        <v>0</v>
      </c>
    </row>
    <row r="797" spans="1:16">
      <c r="A797" s="1" t="str">
        <f t="shared" si="316"/>
        <v>20161219</v>
      </c>
      <c r="B797" s="1"/>
      <c r="C797" s="1"/>
      <c r="D797" s="1" t="str">
        <f>"偿还融资利息"</f>
        <v>偿还融资利息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-182.19</v>
      </c>
      <c r="O797" s="1">
        <v>74813.58</v>
      </c>
      <c r="P797" s="1">
        <v>0</v>
      </c>
    </row>
    <row r="798" spans="1:16">
      <c r="A798" s="1" t="str">
        <f>"20161220"</f>
        <v>20161220</v>
      </c>
      <c r="B798" s="1"/>
      <c r="C798" s="1"/>
      <c r="D798" s="1" t="str">
        <f>"利息归本"</f>
        <v>利息归本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5.51</v>
      </c>
      <c r="O798" s="1">
        <v>31170.26</v>
      </c>
      <c r="P798" s="1">
        <v>0</v>
      </c>
    </row>
    <row r="799" spans="1:16">
      <c r="A799" s="1" t="str">
        <f>"20161228"</f>
        <v>20161228</v>
      </c>
      <c r="B799" s="1"/>
      <c r="C799" s="1"/>
      <c r="D799" s="1" t="str">
        <f>"证券转银行"</f>
        <v>证券转银行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-31000</v>
      </c>
      <c r="O799" s="1">
        <v>170.26</v>
      </c>
      <c r="P799" s="1">
        <v>0</v>
      </c>
    </row>
    <row r="800" spans="1:16">
      <c r="A800" s="1" t="str">
        <f>"20161229"</f>
        <v>20161229</v>
      </c>
      <c r="B800" s="1"/>
      <c r="C800" s="1"/>
      <c r="D800" s="1" t="str">
        <f>"银行转证券"</f>
        <v>银行转证券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10000</v>
      </c>
      <c r="O800" s="1">
        <v>10170.26</v>
      </c>
      <c r="P800" s="1">
        <v>0</v>
      </c>
    </row>
    <row r="801" spans="1:16">
      <c r="A801" s="1" t="str">
        <f>"20161230"</f>
        <v>20161230</v>
      </c>
      <c r="B801" s="1" t="str">
        <f>"511990"</f>
        <v>511990</v>
      </c>
      <c r="C801" s="1" t="str">
        <f>"华宝添益"</f>
        <v>华宝添益</v>
      </c>
      <c r="D801" s="1" t="str">
        <f>"担保品卖出"</f>
        <v>担保品卖出</v>
      </c>
      <c r="E801" s="1">
        <v>100.009</v>
      </c>
      <c r="F801" s="1">
        <v>100</v>
      </c>
      <c r="G801" s="1">
        <v>10000.9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10000.9</v>
      </c>
      <c r="O801" s="1">
        <v>20171.16</v>
      </c>
      <c r="P801" s="1">
        <v>0</v>
      </c>
    </row>
    <row r="802" spans="1:16">
      <c r="A802" s="1" t="str">
        <f>"20170103"</f>
        <v>20170103</v>
      </c>
      <c r="B802" s="1" t="str">
        <f>"511990"</f>
        <v>511990</v>
      </c>
      <c r="C802" s="1" t="str">
        <f>"华宝添益"</f>
        <v>华宝添益</v>
      </c>
      <c r="D802" s="1" t="str">
        <f>"ETF 申购退款"</f>
        <v>ETF 申购退款</v>
      </c>
      <c r="E802" s="1">
        <v>0</v>
      </c>
      <c r="F802" s="1">
        <v>0</v>
      </c>
      <c r="G802" s="1">
        <v>11.19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11.19</v>
      </c>
      <c r="O802" s="1">
        <v>20182.35</v>
      </c>
      <c r="P802" s="1">
        <v>0</v>
      </c>
    </row>
    <row r="803" spans="1:16">
      <c r="A803" s="1" t="str">
        <f>"20170103"</f>
        <v>20170103</v>
      </c>
      <c r="B803" s="1" t="str">
        <f>"000667"</f>
        <v>000667</v>
      </c>
      <c r="C803" s="1" t="str">
        <f>"美好置业"</f>
        <v>美好置业</v>
      </c>
      <c r="D803" s="1" t="str">
        <f>"担保品买入"</f>
        <v>担保品买入</v>
      </c>
      <c r="E803" s="1">
        <v>3.69</v>
      </c>
      <c r="F803" s="1">
        <v>3000</v>
      </c>
      <c r="G803" s="1">
        <v>11070</v>
      </c>
      <c r="H803" s="1">
        <v>5</v>
      </c>
      <c r="I803" s="1">
        <v>4.02</v>
      </c>
      <c r="J803" s="1">
        <v>0</v>
      </c>
      <c r="K803" s="1">
        <v>0</v>
      </c>
      <c r="L803" s="1">
        <v>0</v>
      </c>
      <c r="M803" s="1">
        <v>0</v>
      </c>
      <c r="N803" s="1">
        <v>-11075</v>
      </c>
      <c r="O803" s="1">
        <v>9107.35</v>
      </c>
      <c r="P803" s="1">
        <v>10000</v>
      </c>
    </row>
    <row r="804" spans="1:16">
      <c r="A804" s="1" t="str">
        <f>"20170105"</f>
        <v>20170105</v>
      </c>
      <c r="B804" s="1" t="str">
        <f>"600066"</f>
        <v>600066</v>
      </c>
      <c r="C804" s="1" t="str">
        <f>"宇通客车"</f>
        <v>宇通客车</v>
      </c>
      <c r="D804" s="1" t="str">
        <f>"融资买入"</f>
        <v>融资买入</v>
      </c>
      <c r="E804" s="1">
        <v>19.56</v>
      </c>
      <c r="F804" s="1">
        <v>1000</v>
      </c>
      <c r="G804" s="1">
        <v>19560</v>
      </c>
      <c r="H804" s="1">
        <v>21.52</v>
      </c>
      <c r="I804" s="1">
        <v>20.18</v>
      </c>
      <c r="J804" s="1">
        <v>0</v>
      </c>
      <c r="K804" s="1">
        <v>0.39</v>
      </c>
      <c r="L804" s="1">
        <v>0</v>
      </c>
      <c r="M804" s="1">
        <v>0</v>
      </c>
      <c r="N804" s="1">
        <v>-19581.91</v>
      </c>
      <c r="O804" s="1">
        <v>-10474.56</v>
      </c>
      <c r="P804" s="1">
        <v>1500</v>
      </c>
    </row>
    <row r="805" spans="1:16">
      <c r="A805" s="1" t="str">
        <f>"20170105"</f>
        <v>20170105</v>
      </c>
      <c r="B805" s="1"/>
      <c r="C805" s="1"/>
      <c r="D805" s="1" t="str">
        <f>"融资借入"</f>
        <v>融资借入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19581.91</v>
      </c>
      <c r="O805" s="1">
        <v>9107.35</v>
      </c>
      <c r="P805" s="1">
        <v>0</v>
      </c>
    </row>
    <row r="806" spans="1:16">
      <c r="A806" s="1" t="str">
        <f t="shared" ref="A806:A809" si="317">"20170109"</f>
        <v>20170109</v>
      </c>
      <c r="B806" s="1" t="str">
        <f>"600066"</f>
        <v>600066</v>
      </c>
      <c r="C806" s="1" t="str">
        <f>"宇通客车"</f>
        <v>宇通客车</v>
      </c>
      <c r="D806" s="1" t="str">
        <f>"担保品卖出"</f>
        <v>担保品卖出</v>
      </c>
      <c r="E806" s="1">
        <v>19.51</v>
      </c>
      <c r="F806" s="1">
        <v>1000</v>
      </c>
      <c r="G806" s="1">
        <v>19510</v>
      </c>
      <c r="H806" s="1">
        <v>6.05</v>
      </c>
      <c r="I806" s="1">
        <v>4.71</v>
      </c>
      <c r="J806" s="1">
        <v>19.51</v>
      </c>
      <c r="K806" s="1">
        <v>0.39</v>
      </c>
      <c r="L806" s="1">
        <v>0</v>
      </c>
      <c r="M806" s="1">
        <v>0</v>
      </c>
      <c r="N806" s="1">
        <v>19484.05</v>
      </c>
      <c r="O806" s="1">
        <v>28591.4</v>
      </c>
      <c r="P806" s="1">
        <v>500</v>
      </c>
    </row>
    <row r="807" spans="1:16">
      <c r="A807" s="1" t="str">
        <f t="shared" si="317"/>
        <v>20170109</v>
      </c>
      <c r="B807" s="1"/>
      <c r="C807" s="1"/>
      <c r="D807" s="1" t="str">
        <f>"偿还融资负债本金"</f>
        <v>偿还融资负债本金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-150.34</v>
      </c>
      <c r="O807" s="1">
        <v>28422.9</v>
      </c>
      <c r="P807" s="1">
        <v>0</v>
      </c>
    </row>
    <row r="808" spans="1:16">
      <c r="A808" s="1" t="str">
        <f t="shared" si="317"/>
        <v>20170109</v>
      </c>
      <c r="B808" s="1"/>
      <c r="C808" s="1"/>
      <c r="D808" s="1" t="str">
        <f>"偿还融资利息"</f>
        <v>偿还融资利息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-18.16</v>
      </c>
      <c r="O808" s="1">
        <v>28573.24</v>
      </c>
      <c r="P808" s="1">
        <v>0</v>
      </c>
    </row>
    <row r="809" spans="1:16">
      <c r="A809" s="1" t="str">
        <f t="shared" si="317"/>
        <v>20170109</v>
      </c>
      <c r="B809" s="1"/>
      <c r="C809" s="1"/>
      <c r="D809" s="1" t="str">
        <f>"偿还融资负债本金"</f>
        <v>偿还融资负债本金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-19431.57</v>
      </c>
      <c r="O809" s="1">
        <v>8991.33</v>
      </c>
      <c r="P809" s="1">
        <v>0</v>
      </c>
    </row>
    <row r="810" spans="1:16">
      <c r="A810" s="1" t="str">
        <f>"20170214"</f>
        <v>20170214</v>
      </c>
      <c r="B810" s="1" t="str">
        <f t="shared" ref="B810:B812" si="318">"000667"</f>
        <v>000667</v>
      </c>
      <c r="C810" s="1" t="str">
        <f t="shared" ref="C810:C812" si="319">"美好置业"</f>
        <v>美好置业</v>
      </c>
      <c r="D810" s="1" t="str">
        <f t="shared" ref="D810:D815" si="320">"担保品卖出"</f>
        <v>担保品卖出</v>
      </c>
      <c r="E810" s="1">
        <v>3.76</v>
      </c>
      <c r="F810" s="1">
        <v>3000</v>
      </c>
      <c r="G810" s="1">
        <v>11280</v>
      </c>
      <c r="H810" s="1">
        <v>5</v>
      </c>
      <c r="I810" s="1">
        <v>3.99</v>
      </c>
      <c r="J810" s="1">
        <v>11.28</v>
      </c>
      <c r="K810" s="1">
        <v>0</v>
      </c>
      <c r="L810" s="1">
        <v>0</v>
      </c>
      <c r="M810" s="1">
        <v>0</v>
      </c>
      <c r="N810" s="1">
        <v>11263.72</v>
      </c>
      <c r="O810" s="1">
        <v>20255.05</v>
      </c>
      <c r="P810" s="1">
        <v>7000</v>
      </c>
    </row>
    <row r="811" spans="1:16">
      <c r="A811" s="1" t="str">
        <f>"20170215"</f>
        <v>20170215</v>
      </c>
      <c r="B811" s="1" t="str">
        <f t="shared" si="318"/>
        <v>000667</v>
      </c>
      <c r="C811" s="1" t="str">
        <f t="shared" si="319"/>
        <v>美好置业</v>
      </c>
      <c r="D811" s="1" t="str">
        <f>"股息红利差异扣税"</f>
        <v>股息红利差异扣税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-2.5</v>
      </c>
      <c r="O811" s="1">
        <v>20252.55</v>
      </c>
      <c r="P811" s="1">
        <v>0</v>
      </c>
    </row>
    <row r="812" spans="1:16">
      <c r="A812" s="1" t="str">
        <f>"20170216"</f>
        <v>20170216</v>
      </c>
      <c r="B812" s="1" t="str">
        <f t="shared" si="318"/>
        <v>000667</v>
      </c>
      <c r="C812" s="1" t="str">
        <f t="shared" si="319"/>
        <v>美好置业</v>
      </c>
      <c r="D812" s="1" t="str">
        <f t="shared" ref="D812:D817" si="321">"担保品买入"</f>
        <v>担保品买入</v>
      </c>
      <c r="E812" s="1">
        <v>3.72</v>
      </c>
      <c r="F812" s="1">
        <v>3000</v>
      </c>
      <c r="G812" s="1">
        <v>11160</v>
      </c>
      <c r="H812" s="1">
        <v>5</v>
      </c>
      <c r="I812" s="1">
        <v>4.02</v>
      </c>
      <c r="J812" s="1">
        <v>0</v>
      </c>
      <c r="K812" s="1">
        <v>0</v>
      </c>
      <c r="L812" s="1">
        <v>0</v>
      </c>
      <c r="M812" s="1">
        <v>0</v>
      </c>
      <c r="N812" s="1">
        <v>-11165</v>
      </c>
      <c r="O812" s="1">
        <v>9087.55</v>
      </c>
      <c r="P812" s="1">
        <v>10000</v>
      </c>
    </row>
    <row r="813" spans="1:16">
      <c r="A813" s="1" t="str">
        <f>"20170216"</f>
        <v>20170216</v>
      </c>
      <c r="B813" s="1" t="str">
        <f>"601000"</f>
        <v>601000</v>
      </c>
      <c r="C813" s="1" t="str">
        <f>"唐山港"</f>
        <v>唐山港</v>
      </c>
      <c r="D813" s="1" t="str">
        <f t="shared" si="320"/>
        <v>担保品卖出</v>
      </c>
      <c r="E813" s="1">
        <v>4.48</v>
      </c>
      <c r="F813" s="1">
        <v>5000</v>
      </c>
      <c r="G813" s="1">
        <v>22400</v>
      </c>
      <c r="H813" s="1">
        <v>6.94</v>
      </c>
      <c r="I813" s="1">
        <v>5.4</v>
      </c>
      <c r="J813" s="1">
        <v>22.4</v>
      </c>
      <c r="K813" s="1">
        <v>0.45</v>
      </c>
      <c r="L813" s="1">
        <v>0</v>
      </c>
      <c r="M813" s="1">
        <v>0</v>
      </c>
      <c r="N813" s="1">
        <v>22370.21</v>
      </c>
      <c r="O813" s="1">
        <v>31457.76</v>
      </c>
      <c r="P813" s="1">
        <v>5000</v>
      </c>
    </row>
    <row r="814" spans="1:16">
      <c r="A814" s="1" t="str">
        <f>"20170217"</f>
        <v>20170217</v>
      </c>
      <c r="B814" s="1" t="str">
        <f t="shared" ref="B814:B818" si="322">"000667"</f>
        <v>000667</v>
      </c>
      <c r="C814" s="1" t="str">
        <f t="shared" ref="C814:C818" si="323">"美好置业"</f>
        <v>美好置业</v>
      </c>
      <c r="D814" s="1" t="str">
        <f t="shared" si="320"/>
        <v>担保品卖出</v>
      </c>
      <c r="E814" s="1">
        <v>3.77</v>
      </c>
      <c r="F814" s="1">
        <v>3000</v>
      </c>
      <c r="G814" s="1">
        <v>11310</v>
      </c>
      <c r="H814" s="1">
        <v>5</v>
      </c>
      <c r="I814" s="1">
        <v>3.99</v>
      </c>
      <c r="J814" s="1">
        <v>11.31</v>
      </c>
      <c r="K814" s="1">
        <v>0</v>
      </c>
      <c r="L814" s="1">
        <v>0</v>
      </c>
      <c r="M814" s="1">
        <v>0</v>
      </c>
      <c r="N814" s="1">
        <v>11293.69</v>
      </c>
      <c r="O814" s="1">
        <v>42751.45</v>
      </c>
      <c r="P814" s="1">
        <v>7000</v>
      </c>
    </row>
    <row r="815" spans="1:16">
      <c r="A815" s="1" t="str">
        <f>"20170217"</f>
        <v>20170217</v>
      </c>
      <c r="B815" s="1" t="str">
        <f>"601000"</f>
        <v>601000</v>
      </c>
      <c r="C815" s="1" t="str">
        <f>"唐山港"</f>
        <v>唐山港</v>
      </c>
      <c r="D815" s="1" t="str">
        <f t="shared" si="320"/>
        <v>担保品卖出</v>
      </c>
      <c r="E815" s="1">
        <v>4.62</v>
      </c>
      <c r="F815" s="1">
        <v>5000</v>
      </c>
      <c r="G815" s="1">
        <v>23100</v>
      </c>
      <c r="H815" s="1">
        <v>7.16</v>
      </c>
      <c r="I815" s="1">
        <v>5.58</v>
      </c>
      <c r="J815" s="1">
        <v>23.1</v>
      </c>
      <c r="K815" s="1">
        <v>0.46</v>
      </c>
      <c r="L815" s="1">
        <v>0</v>
      </c>
      <c r="M815" s="1">
        <v>0</v>
      </c>
      <c r="N815" s="1">
        <v>23069.28</v>
      </c>
      <c r="O815" s="1">
        <v>65820.73</v>
      </c>
      <c r="P815" s="1">
        <v>0</v>
      </c>
    </row>
    <row r="816" spans="1:16">
      <c r="A816" s="1" t="str">
        <f>"20170220"</f>
        <v>20170220</v>
      </c>
      <c r="B816" s="1" t="str">
        <f t="shared" ref="B816:B820" si="324">"002183"</f>
        <v>002183</v>
      </c>
      <c r="C816" s="1" t="str">
        <f t="shared" ref="C816:C820" si="325">"怡 亚 通"</f>
        <v>怡 亚 通</v>
      </c>
      <c r="D816" s="1" t="str">
        <f t="shared" si="321"/>
        <v>担保品买入</v>
      </c>
      <c r="E816" s="1">
        <v>10.7</v>
      </c>
      <c r="F816" s="1">
        <v>2000</v>
      </c>
      <c r="G816" s="1">
        <v>21400</v>
      </c>
      <c r="H816" s="1">
        <v>6.63</v>
      </c>
      <c r="I816" s="1">
        <v>4.73</v>
      </c>
      <c r="J816" s="1">
        <v>0</v>
      </c>
      <c r="K816" s="1">
        <v>0</v>
      </c>
      <c r="L816" s="1">
        <v>0</v>
      </c>
      <c r="M816" s="1">
        <v>0</v>
      </c>
      <c r="N816" s="1">
        <v>-21406.63</v>
      </c>
      <c r="O816" s="1">
        <v>44414.1</v>
      </c>
      <c r="P816" s="1">
        <v>2000</v>
      </c>
    </row>
    <row r="817" spans="1:16">
      <c r="A817" s="1" t="str">
        <f>"20170220"</f>
        <v>20170220</v>
      </c>
      <c r="B817" s="1" t="str">
        <f t="shared" si="322"/>
        <v>000667</v>
      </c>
      <c r="C817" s="1" t="str">
        <f t="shared" si="323"/>
        <v>美好置业</v>
      </c>
      <c r="D817" s="1" t="str">
        <f t="shared" si="321"/>
        <v>担保品买入</v>
      </c>
      <c r="E817" s="1">
        <v>3.73</v>
      </c>
      <c r="F817" s="1">
        <v>3000</v>
      </c>
      <c r="G817" s="1">
        <v>11190</v>
      </c>
      <c r="H817" s="1">
        <v>5</v>
      </c>
      <c r="I817" s="1">
        <v>4.02</v>
      </c>
      <c r="J817" s="1">
        <v>0</v>
      </c>
      <c r="K817" s="1">
        <v>0</v>
      </c>
      <c r="L817" s="1">
        <v>0</v>
      </c>
      <c r="M817" s="1">
        <v>0</v>
      </c>
      <c r="N817" s="1">
        <v>-11195</v>
      </c>
      <c r="O817" s="1">
        <v>33219.1</v>
      </c>
      <c r="P817" s="1">
        <v>10000</v>
      </c>
    </row>
    <row r="818" spans="1:16">
      <c r="A818" s="1" t="str">
        <f t="shared" ref="A818:A820" si="326">"20170223"</f>
        <v>20170223</v>
      </c>
      <c r="B818" s="1" t="str">
        <f t="shared" si="322"/>
        <v>000667</v>
      </c>
      <c r="C818" s="1" t="str">
        <f t="shared" si="323"/>
        <v>美好置业</v>
      </c>
      <c r="D818" s="1" t="str">
        <f t="shared" ref="D818:D822" si="327">"担保品卖出"</f>
        <v>担保品卖出</v>
      </c>
      <c r="E818" s="1">
        <v>3.8</v>
      </c>
      <c r="F818" s="1">
        <v>3000</v>
      </c>
      <c r="G818" s="1">
        <v>11400</v>
      </c>
      <c r="H818" s="1">
        <v>5</v>
      </c>
      <c r="I818" s="1">
        <v>3.98</v>
      </c>
      <c r="J818" s="1">
        <v>11.4</v>
      </c>
      <c r="K818" s="1">
        <v>0</v>
      </c>
      <c r="L818" s="1">
        <v>0</v>
      </c>
      <c r="M818" s="1">
        <v>0</v>
      </c>
      <c r="N818" s="1">
        <v>11383.6</v>
      </c>
      <c r="O818" s="1">
        <v>44602.7</v>
      </c>
      <c r="P818" s="1">
        <v>7000</v>
      </c>
    </row>
    <row r="819" spans="1:16">
      <c r="A819" s="1" t="str">
        <f t="shared" si="326"/>
        <v>20170223</v>
      </c>
      <c r="B819" s="1" t="str">
        <f t="shared" si="324"/>
        <v>002183</v>
      </c>
      <c r="C819" s="1" t="str">
        <f t="shared" si="325"/>
        <v>怡 亚 通</v>
      </c>
      <c r="D819" s="1" t="str">
        <f t="shared" si="327"/>
        <v>担保品卖出</v>
      </c>
      <c r="E819" s="1">
        <v>10.94</v>
      </c>
      <c r="F819" s="1">
        <v>2000</v>
      </c>
      <c r="G819" s="1">
        <v>21880</v>
      </c>
      <c r="H819" s="1">
        <v>6.78</v>
      </c>
      <c r="I819" s="1">
        <v>4.83</v>
      </c>
      <c r="J819" s="1">
        <v>21.88</v>
      </c>
      <c r="K819" s="1">
        <v>0</v>
      </c>
      <c r="L819" s="1">
        <v>0</v>
      </c>
      <c r="M819" s="1">
        <v>0</v>
      </c>
      <c r="N819" s="1">
        <v>21851.34</v>
      </c>
      <c r="O819" s="1">
        <v>66454.04</v>
      </c>
      <c r="P819" s="1">
        <v>0</v>
      </c>
    </row>
    <row r="820" spans="1:16">
      <c r="A820" s="1" t="str">
        <f t="shared" si="326"/>
        <v>20170223</v>
      </c>
      <c r="B820" s="1" t="str">
        <f t="shared" si="324"/>
        <v>002183</v>
      </c>
      <c r="C820" s="1" t="str">
        <f t="shared" si="325"/>
        <v>怡 亚 通</v>
      </c>
      <c r="D820" s="1" t="str">
        <f t="shared" ref="D820:D824" si="328">"担保品买入"</f>
        <v>担保品买入</v>
      </c>
      <c r="E820" s="1">
        <v>11.19</v>
      </c>
      <c r="F820" s="1">
        <v>1000</v>
      </c>
      <c r="G820" s="1">
        <v>11190</v>
      </c>
      <c r="H820" s="1">
        <v>5</v>
      </c>
      <c r="I820" s="1">
        <v>4.02</v>
      </c>
      <c r="J820" s="1">
        <v>0</v>
      </c>
      <c r="K820" s="1">
        <v>0</v>
      </c>
      <c r="L820" s="1">
        <v>0</v>
      </c>
      <c r="M820" s="1">
        <v>0</v>
      </c>
      <c r="N820" s="1">
        <v>-11195</v>
      </c>
      <c r="O820" s="1">
        <v>55259.04</v>
      </c>
      <c r="P820" s="1">
        <v>1000</v>
      </c>
    </row>
    <row r="821" spans="1:16">
      <c r="A821" s="1" t="str">
        <f>"20170224"</f>
        <v>20170224</v>
      </c>
      <c r="B821" s="1" t="str">
        <f>"000667"</f>
        <v>000667</v>
      </c>
      <c r="C821" s="1" t="str">
        <f>"美好置业"</f>
        <v>美好置业</v>
      </c>
      <c r="D821" s="1" t="str">
        <f t="shared" si="328"/>
        <v>担保品买入</v>
      </c>
      <c r="E821" s="1">
        <v>3.76</v>
      </c>
      <c r="F821" s="1">
        <v>3000</v>
      </c>
      <c r="G821" s="1">
        <v>11280</v>
      </c>
      <c r="H821" s="1">
        <v>5</v>
      </c>
      <c r="I821" s="1">
        <v>3.99</v>
      </c>
      <c r="J821" s="1">
        <v>0</v>
      </c>
      <c r="K821" s="1">
        <v>0</v>
      </c>
      <c r="L821" s="1">
        <v>0</v>
      </c>
      <c r="M821" s="1">
        <v>0</v>
      </c>
      <c r="N821" s="1">
        <v>-11285</v>
      </c>
      <c r="O821" s="1">
        <v>43974.04</v>
      </c>
      <c r="P821" s="1">
        <v>10000</v>
      </c>
    </row>
    <row r="822" spans="1:16">
      <c r="A822" s="1" t="str">
        <f>"20170224"</f>
        <v>20170224</v>
      </c>
      <c r="B822" s="1" t="str">
        <f>"002183"</f>
        <v>002183</v>
      </c>
      <c r="C822" s="1" t="str">
        <f>"怡 亚 通"</f>
        <v>怡 亚 通</v>
      </c>
      <c r="D822" s="1" t="str">
        <f t="shared" si="327"/>
        <v>担保品卖出</v>
      </c>
      <c r="E822" s="1">
        <v>11.14</v>
      </c>
      <c r="F822" s="1">
        <v>1000</v>
      </c>
      <c r="G822" s="1">
        <v>11140</v>
      </c>
      <c r="H822" s="1">
        <v>5</v>
      </c>
      <c r="I822" s="1">
        <v>4.02</v>
      </c>
      <c r="J822" s="1">
        <v>11.14</v>
      </c>
      <c r="K822" s="1">
        <v>0</v>
      </c>
      <c r="L822" s="1">
        <v>0</v>
      </c>
      <c r="M822" s="1">
        <v>0</v>
      </c>
      <c r="N822" s="1">
        <v>11123.86</v>
      </c>
      <c r="O822" s="1">
        <v>55097.9</v>
      </c>
      <c r="P822" s="1">
        <v>0</v>
      </c>
    </row>
    <row r="823" spans="1:16">
      <c r="A823" s="1" t="str">
        <f>"20170301"</f>
        <v>20170301</v>
      </c>
      <c r="B823" s="1" t="str">
        <f>"000601"</f>
        <v>000601</v>
      </c>
      <c r="C823" s="1" t="str">
        <f>"韶能股份"</f>
        <v>韶能股份</v>
      </c>
      <c r="D823" s="1" t="str">
        <f t="shared" si="328"/>
        <v>担保品买入</v>
      </c>
      <c r="E823" s="1">
        <v>8.25</v>
      </c>
      <c r="F823" s="1">
        <v>3000</v>
      </c>
      <c r="G823" s="1">
        <v>24750</v>
      </c>
      <c r="H823" s="1">
        <v>7.67</v>
      </c>
      <c r="I823" s="1">
        <v>5.47</v>
      </c>
      <c r="J823" s="1">
        <v>0</v>
      </c>
      <c r="K823" s="1">
        <v>0</v>
      </c>
      <c r="L823" s="1">
        <v>0</v>
      </c>
      <c r="M823" s="1">
        <v>0</v>
      </c>
      <c r="N823" s="1">
        <v>-24757.67</v>
      </c>
      <c r="O823" s="1">
        <v>30340.23</v>
      </c>
      <c r="P823" s="1">
        <v>3000</v>
      </c>
    </row>
    <row r="824" spans="1:16">
      <c r="A824" s="1" t="str">
        <f>"20170309"</f>
        <v>20170309</v>
      </c>
      <c r="B824" s="1" t="str">
        <f>"000601"</f>
        <v>000601</v>
      </c>
      <c r="C824" s="1" t="str">
        <f>"韶能股份"</f>
        <v>韶能股份</v>
      </c>
      <c r="D824" s="1" t="str">
        <f t="shared" si="328"/>
        <v>担保品买入</v>
      </c>
      <c r="E824" s="1">
        <v>8.38</v>
      </c>
      <c r="F824" s="1">
        <v>3000</v>
      </c>
      <c r="G824" s="1">
        <v>25140</v>
      </c>
      <c r="H824" s="1">
        <v>7.79</v>
      </c>
      <c r="I824" s="1">
        <v>5.57</v>
      </c>
      <c r="J824" s="1">
        <v>0</v>
      </c>
      <c r="K824" s="1">
        <v>0</v>
      </c>
      <c r="L824" s="1">
        <v>0</v>
      </c>
      <c r="M824" s="1">
        <v>0</v>
      </c>
      <c r="N824" s="1">
        <v>-25147.79</v>
      </c>
      <c r="O824" s="1">
        <v>5192.44</v>
      </c>
      <c r="P824" s="1">
        <v>6000</v>
      </c>
    </row>
    <row r="825" spans="1:16">
      <c r="A825" s="1" t="str">
        <f>"20170320"</f>
        <v>20170320</v>
      </c>
      <c r="B825" s="1"/>
      <c r="C825" s="1"/>
      <c r="D825" s="1" t="str">
        <f>"利息归本"</f>
        <v>利息归本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16.59</v>
      </c>
      <c r="O825" s="1">
        <v>5209.03</v>
      </c>
      <c r="P825" s="1">
        <v>0</v>
      </c>
    </row>
    <row r="826" spans="1:16">
      <c r="A826" s="1" t="str">
        <f>"20170330"</f>
        <v>20170330</v>
      </c>
      <c r="B826" s="1" t="str">
        <f>"000667"</f>
        <v>000667</v>
      </c>
      <c r="C826" s="1" t="str">
        <f>"美好置业"</f>
        <v>美好置业</v>
      </c>
      <c r="D826" s="1" t="str">
        <f>"担保品买入"</f>
        <v>担保品买入</v>
      </c>
      <c r="E826" s="1">
        <v>3.68</v>
      </c>
      <c r="F826" s="1">
        <v>1300</v>
      </c>
      <c r="G826" s="1">
        <v>4784</v>
      </c>
      <c r="H826" s="1">
        <v>5</v>
      </c>
      <c r="I826" s="1">
        <v>4.57</v>
      </c>
      <c r="J826" s="1">
        <v>0</v>
      </c>
      <c r="K826" s="1">
        <v>0</v>
      </c>
      <c r="L826" s="1">
        <v>0</v>
      </c>
      <c r="M826" s="1">
        <v>0</v>
      </c>
      <c r="N826" s="1">
        <v>-4789</v>
      </c>
      <c r="O826" s="1">
        <v>420.03</v>
      </c>
      <c r="P826" s="1">
        <v>11300</v>
      </c>
    </row>
    <row r="827" spans="1:16">
      <c r="A827" s="1" t="str">
        <f>"20170410"</f>
        <v>20170410</v>
      </c>
      <c r="B827" s="1" t="str">
        <f>"601919"</f>
        <v>601919</v>
      </c>
      <c r="C827" s="1" t="str">
        <f>"中远海控"</f>
        <v>中远海控</v>
      </c>
      <c r="D827" s="1" t="str">
        <f>"融资买入"</f>
        <v>融资买入</v>
      </c>
      <c r="E827" s="1">
        <v>6.19</v>
      </c>
      <c r="F827" s="1">
        <v>5000</v>
      </c>
      <c r="G827" s="1">
        <v>30950</v>
      </c>
      <c r="H827" s="1">
        <v>34.05</v>
      </c>
      <c r="I827" s="1">
        <v>31.92</v>
      </c>
      <c r="J827" s="1">
        <v>0</v>
      </c>
      <c r="K827" s="1">
        <v>0.62</v>
      </c>
      <c r="L827" s="1">
        <v>0</v>
      </c>
      <c r="M827" s="1">
        <v>0</v>
      </c>
      <c r="N827" s="1">
        <v>-30984.67</v>
      </c>
      <c r="O827" s="1">
        <v>-30564.64</v>
      </c>
      <c r="P827" s="1">
        <v>5000</v>
      </c>
    </row>
    <row r="828" spans="1:16">
      <c r="A828" s="1" t="str">
        <f>"20170410"</f>
        <v>20170410</v>
      </c>
      <c r="B828" s="1"/>
      <c r="C828" s="1"/>
      <c r="D828" s="1" t="str">
        <f>"融资借入"</f>
        <v>融资借入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30984.67</v>
      </c>
      <c r="O828" s="1">
        <v>420.03</v>
      </c>
      <c r="P828" s="1">
        <v>0</v>
      </c>
    </row>
    <row r="829" spans="1:16">
      <c r="A829" s="1" t="str">
        <f>"20170426"</f>
        <v>20170426</v>
      </c>
      <c r="B829" s="1" t="str">
        <f>"000667"</f>
        <v>000667</v>
      </c>
      <c r="C829" s="1" t="str">
        <f>"美好置业"</f>
        <v>美好置业</v>
      </c>
      <c r="D829" s="1" t="str">
        <f>"红利入账"</f>
        <v>红利入账</v>
      </c>
      <c r="E829" s="1">
        <v>0</v>
      </c>
      <c r="F829" s="1">
        <v>0</v>
      </c>
      <c r="G829" s="1">
        <v>282.5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282.5</v>
      </c>
      <c r="O829" s="1">
        <v>702.53</v>
      </c>
      <c r="P829" s="1">
        <v>0</v>
      </c>
    </row>
    <row r="830" spans="1:16">
      <c r="A830" s="1" t="str">
        <f t="shared" ref="A830:A833" si="329">"20170427"</f>
        <v>20170427</v>
      </c>
      <c r="B830" s="1" t="str">
        <f>"601919"</f>
        <v>601919</v>
      </c>
      <c r="C830" s="1" t="str">
        <f>"中远海控"</f>
        <v>中远海控</v>
      </c>
      <c r="D830" s="1" t="str">
        <f>"担保品卖出"</f>
        <v>担保品卖出</v>
      </c>
      <c r="E830" s="1">
        <v>5.36</v>
      </c>
      <c r="F830" s="1">
        <v>5000</v>
      </c>
      <c r="G830" s="1">
        <v>26800</v>
      </c>
      <c r="H830" s="1">
        <v>8.31</v>
      </c>
      <c r="I830" s="1">
        <v>6.46</v>
      </c>
      <c r="J830" s="1">
        <v>26.8</v>
      </c>
      <c r="K830" s="1">
        <v>0.54</v>
      </c>
      <c r="L830" s="1">
        <v>0</v>
      </c>
      <c r="M830" s="1">
        <v>0</v>
      </c>
      <c r="N830" s="1">
        <v>26764.35</v>
      </c>
      <c r="O830" s="1">
        <v>27466.88</v>
      </c>
      <c r="P830" s="1">
        <v>0</v>
      </c>
    </row>
    <row r="831" spans="1:16">
      <c r="A831" s="1" t="str">
        <f t="shared" si="329"/>
        <v>20170427</v>
      </c>
      <c r="B831" s="1"/>
      <c r="C831" s="1"/>
      <c r="D831" s="1" t="str">
        <f>"偿还融资负债本金"</f>
        <v>偿还融资负债本金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-577.79</v>
      </c>
      <c r="O831" s="1">
        <v>26766.88</v>
      </c>
      <c r="P831" s="1">
        <v>0</v>
      </c>
    </row>
    <row r="832" spans="1:16">
      <c r="A832" s="1" t="str">
        <f t="shared" si="329"/>
        <v>20170427</v>
      </c>
      <c r="B832" s="1"/>
      <c r="C832" s="1"/>
      <c r="D832" s="1" t="str">
        <f>"偿还融资利息"</f>
        <v>偿还融资利息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-122.21</v>
      </c>
      <c r="O832" s="1">
        <v>27344.67</v>
      </c>
      <c r="P832" s="1">
        <v>0</v>
      </c>
    </row>
    <row r="833" spans="1:16">
      <c r="A833" s="1" t="str">
        <f t="shared" si="329"/>
        <v>20170427</v>
      </c>
      <c r="B833" s="1"/>
      <c r="C833" s="1"/>
      <c r="D833" s="1" t="str">
        <f>"偿还融资负债本金"</f>
        <v>偿还融资负债本金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-26692.26</v>
      </c>
      <c r="O833" s="1">
        <v>74.62</v>
      </c>
      <c r="P833" s="1">
        <v>0</v>
      </c>
    </row>
    <row r="834" spans="1:16">
      <c r="A834" s="1" t="str">
        <f t="shared" ref="A834:A837" si="330">"20170510"</f>
        <v>20170510</v>
      </c>
      <c r="B834" s="1" t="str">
        <f>"600066"</f>
        <v>600066</v>
      </c>
      <c r="C834" s="1" t="str">
        <f>"宇通客车"</f>
        <v>宇通客车</v>
      </c>
      <c r="D834" s="1" t="str">
        <f>"融资买入"</f>
        <v>融资买入</v>
      </c>
      <c r="E834" s="1">
        <v>19.336</v>
      </c>
      <c r="F834" s="1">
        <v>500</v>
      </c>
      <c r="G834" s="1">
        <v>9668</v>
      </c>
      <c r="H834" s="1">
        <v>10.63</v>
      </c>
      <c r="I834" s="1">
        <v>9.96</v>
      </c>
      <c r="J834" s="1">
        <v>0</v>
      </c>
      <c r="K834" s="1">
        <v>0.19</v>
      </c>
      <c r="L834" s="1">
        <v>0</v>
      </c>
      <c r="M834" s="1">
        <v>0</v>
      </c>
      <c r="N834" s="1">
        <v>-9678.82</v>
      </c>
      <c r="O834" s="1">
        <v>-9604.2</v>
      </c>
      <c r="P834" s="1">
        <v>1000</v>
      </c>
    </row>
    <row r="835" spans="1:16">
      <c r="A835" s="1" t="str">
        <f t="shared" si="330"/>
        <v>20170510</v>
      </c>
      <c r="B835" s="1" t="str">
        <f>"600066"</f>
        <v>600066</v>
      </c>
      <c r="C835" s="1" t="str">
        <f>"宇通客车"</f>
        <v>宇通客车</v>
      </c>
      <c r="D835" s="1" t="str">
        <f>"担保品卖出"</f>
        <v>担保品卖出</v>
      </c>
      <c r="E835" s="1">
        <v>19.15</v>
      </c>
      <c r="F835" s="1">
        <v>500</v>
      </c>
      <c r="G835" s="1">
        <v>9575</v>
      </c>
      <c r="H835" s="1">
        <v>5</v>
      </c>
      <c r="I835" s="1">
        <v>4.35</v>
      </c>
      <c r="J835" s="1">
        <v>9.58</v>
      </c>
      <c r="K835" s="1">
        <v>0.19</v>
      </c>
      <c r="L835" s="1">
        <v>0</v>
      </c>
      <c r="M835" s="1">
        <v>0</v>
      </c>
      <c r="N835" s="1">
        <v>9560.23</v>
      </c>
      <c r="O835" s="1">
        <v>-43.97</v>
      </c>
      <c r="P835" s="1">
        <v>500</v>
      </c>
    </row>
    <row r="836" spans="1:16">
      <c r="A836" s="1" t="str">
        <f t="shared" si="330"/>
        <v>20170510</v>
      </c>
      <c r="B836" s="1"/>
      <c r="C836" s="1"/>
      <c r="D836" s="1" t="str">
        <f>"融资借入"</f>
        <v>融资借入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9678.82</v>
      </c>
      <c r="O836" s="1">
        <v>9634.85</v>
      </c>
      <c r="P836" s="1">
        <v>0</v>
      </c>
    </row>
    <row r="837" spans="1:16">
      <c r="A837" s="1" t="str">
        <f t="shared" si="330"/>
        <v>20170510</v>
      </c>
      <c r="B837" s="1"/>
      <c r="C837" s="1"/>
      <c r="D837" s="1" t="str">
        <f>"偿还融资负债本金"</f>
        <v>偿还融资负债本金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-9536.5</v>
      </c>
      <c r="O837" s="1">
        <v>98.35</v>
      </c>
      <c r="P837" s="1">
        <v>0</v>
      </c>
    </row>
    <row r="838" spans="1:16">
      <c r="A838" s="1" t="str">
        <f t="shared" ref="A838:A841" si="331">"20170518"</f>
        <v>20170518</v>
      </c>
      <c r="B838" s="1"/>
      <c r="C838" s="1"/>
      <c r="D838" s="1" t="str">
        <f>"银行转证券"</f>
        <v>银行转证券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20000</v>
      </c>
      <c r="O838" s="1">
        <v>20098.35</v>
      </c>
      <c r="P838" s="1">
        <v>0</v>
      </c>
    </row>
    <row r="839" spans="1:16">
      <c r="A839" s="1" t="str">
        <f t="shared" si="331"/>
        <v>20170518</v>
      </c>
      <c r="B839" s="1" t="str">
        <f>"000601"</f>
        <v>000601</v>
      </c>
      <c r="C839" s="1" t="str">
        <f>"韶能股份"</f>
        <v>韶能股份</v>
      </c>
      <c r="D839" s="1" t="str">
        <f>"担保品买入"</f>
        <v>担保品买入</v>
      </c>
      <c r="E839" s="1">
        <v>6.9</v>
      </c>
      <c r="F839" s="1">
        <v>2800</v>
      </c>
      <c r="G839" s="1">
        <v>19320</v>
      </c>
      <c r="H839" s="1">
        <v>5.99</v>
      </c>
      <c r="I839" s="1">
        <v>4.28</v>
      </c>
      <c r="J839" s="1">
        <v>0</v>
      </c>
      <c r="K839" s="1">
        <v>0</v>
      </c>
      <c r="L839" s="1">
        <v>0</v>
      </c>
      <c r="M839" s="1">
        <v>0</v>
      </c>
      <c r="N839" s="1">
        <v>-19325.99</v>
      </c>
      <c r="O839" s="1">
        <v>772.36</v>
      </c>
      <c r="P839" s="1">
        <v>8800</v>
      </c>
    </row>
    <row r="840" spans="1:16">
      <c r="A840" s="1" t="str">
        <f t="shared" si="331"/>
        <v>20170518</v>
      </c>
      <c r="B840" s="1"/>
      <c r="C840" s="1"/>
      <c r="D840" s="1" t="str">
        <f>"偿还融资负债本金"</f>
        <v>偿还融资负债本金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-481.94</v>
      </c>
      <c r="O840" s="1">
        <v>272.36</v>
      </c>
      <c r="P840" s="1">
        <v>0</v>
      </c>
    </row>
    <row r="841" spans="1:16">
      <c r="A841" s="1" t="str">
        <f t="shared" si="331"/>
        <v>20170518</v>
      </c>
      <c r="B841" s="1"/>
      <c r="C841" s="1"/>
      <c r="D841" s="1" t="str">
        <f>"偿还融资利息"</f>
        <v>偿还融资利息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-18.06</v>
      </c>
      <c r="O841" s="1">
        <v>754.3</v>
      </c>
      <c r="P841" s="1">
        <v>0</v>
      </c>
    </row>
    <row r="842" spans="1:16">
      <c r="A842" s="1" t="str">
        <f t="shared" ref="A842:A845" si="332">"20170607"</f>
        <v>20170607</v>
      </c>
      <c r="B842" s="1" t="str">
        <f>"002183"</f>
        <v>002183</v>
      </c>
      <c r="C842" s="1" t="str">
        <f>"怡 亚 通"</f>
        <v>怡 亚 通</v>
      </c>
      <c r="D842" s="1" t="str">
        <f>"融资买入"</f>
        <v>融资买入</v>
      </c>
      <c r="E842" s="1">
        <v>8.61</v>
      </c>
      <c r="F842" s="1">
        <v>2500</v>
      </c>
      <c r="G842" s="1">
        <v>21525</v>
      </c>
      <c r="H842" s="1">
        <v>23.68</v>
      </c>
      <c r="I842" s="1">
        <v>21.77</v>
      </c>
      <c r="J842" s="1">
        <v>0</v>
      </c>
      <c r="K842" s="1">
        <v>0</v>
      </c>
      <c r="L842" s="1">
        <v>0</v>
      </c>
      <c r="M842" s="1">
        <v>0</v>
      </c>
      <c r="N842" s="1">
        <v>-21548.68</v>
      </c>
      <c r="O842" s="1">
        <v>-21276.32</v>
      </c>
      <c r="P842" s="1">
        <v>2500</v>
      </c>
    </row>
    <row r="843" spans="1:16">
      <c r="A843" s="1" t="str">
        <f t="shared" si="332"/>
        <v>20170607</v>
      </c>
      <c r="B843" s="1" t="str">
        <f>"000667"</f>
        <v>000667</v>
      </c>
      <c r="C843" s="1" t="str">
        <f>"美好置业"</f>
        <v>美好置业</v>
      </c>
      <c r="D843" s="1" t="str">
        <f>"融资买入"</f>
        <v>融资买入</v>
      </c>
      <c r="E843" s="1">
        <v>3.54</v>
      </c>
      <c r="F843" s="1">
        <v>5000</v>
      </c>
      <c r="G843" s="1">
        <v>17700</v>
      </c>
      <c r="H843" s="1">
        <v>19.47</v>
      </c>
      <c r="I843" s="1">
        <v>17.91</v>
      </c>
      <c r="J843" s="1">
        <v>0</v>
      </c>
      <c r="K843" s="1">
        <v>0</v>
      </c>
      <c r="L843" s="1">
        <v>0</v>
      </c>
      <c r="M843" s="1">
        <v>0</v>
      </c>
      <c r="N843" s="1">
        <v>-17719.47</v>
      </c>
      <c r="O843" s="1">
        <v>-38995.79</v>
      </c>
      <c r="P843" s="1">
        <v>16300</v>
      </c>
    </row>
    <row r="844" spans="1:16">
      <c r="A844" s="1" t="str">
        <f t="shared" si="332"/>
        <v>20170607</v>
      </c>
      <c r="B844" s="1"/>
      <c r="C844" s="1"/>
      <c r="D844" s="1" t="str">
        <f>"融资借入"</f>
        <v>融资借入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21548.68</v>
      </c>
      <c r="O844" s="1">
        <v>-17447.11</v>
      </c>
      <c r="P844" s="1">
        <v>0</v>
      </c>
    </row>
    <row r="845" spans="1:16">
      <c r="A845" s="1" t="str">
        <f t="shared" si="332"/>
        <v>20170607</v>
      </c>
      <c r="B845" s="1"/>
      <c r="C845" s="1"/>
      <c r="D845" s="1" t="str">
        <f>"融资借入"</f>
        <v>融资借入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17719.47</v>
      </c>
      <c r="O845" s="1">
        <v>272.36</v>
      </c>
      <c r="P845" s="1">
        <v>0</v>
      </c>
    </row>
    <row r="846" spans="1:16">
      <c r="A846" s="1" t="str">
        <f>"20170609"</f>
        <v>20170609</v>
      </c>
      <c r="B846" s="1" t="str">
        <f>"000601"</f>
        <v>000601</v>
      </c>
      <c r="C846" s="1" t="str">
        <f>"韶能股份"</f>
        <v>韶能股份</v>
      </c>
      <c r="D846" s="1" t="str">
        <f>"担保品卖出"</f>
        <v>担保品卖出</v>
      </c>
      <c r="E846" s="1">
        <v>6.99</v>
      </c>
      <c r="F846" s="1">
        <v>2800</v>
      </c>
      <c r="G846" s="1">
        <v>19572</v>
      </c>
      <c r="H846" s="1">
        <v>6.07</v>
      </c>
      <c r="I846" s="1">
        <v>4.34</v>
      </c>
      <c r="J846" s="1">
        <v>19.58</v>
      </c>
      <c r="K846" s="1">
        <v>0</v>
      </c>
      <c r="L846" s="1">
        <v>0</v>
      </c>
      <c r="M846" s="1">
        <v>0</v>
      </c>
      <c r="N846" s="1">
        <v>19546.35</v>
      </c>
      <c r="O846" s="1">
        <v>19818.71</v>
      </c>
      <c r="P846" s="1">
        <v>6000</v>
      </c>
    </row>
    <row r="847" spans="1:16">
      <c r="A847" s="1" t="str">
        <f>"20170613"</f>
        <v>20170613</v>
      </c>
      <c r="B847" s="1" t="str">
        <f>"600066"</f>
        <v>600066</v>
      </c>
      <c r="C847" s="1" t="str">
        <f>"宇通客车"</f>
        <v>宇通客车</v>
      </c>
      <c r="D847" s="1" t="str">
        <f>"红利入账"</f>
        <v>红利入账</v>
      </c>
      <c r="E847" s="1">
        <v>0</v>
      </c>
      <c r="F847" s="1">
        <v>500</v>
      </c>
      <c r="G847" s="1">
        <v>500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500</v>
      </c>
      <c r="O847" s="1">
        <v>20318.71</v>
      </c>
      <c r="P847" s="1">
        <v>0</v>
      </c>
    </row>
    <row r="848" spans="1:16">
      <c r="A848" s="1" t="str">
        <f>"20170615"</f>
        <v>20170615</v>
      </c>
      <c r="B848" s="1"/>
      <c r="C848" s="1"/>
      <c r="D848" s="1" t="str">
        <f>"证券转银行"</f>
        <v>证券转银行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-20318.17</v>
      </c>
      <c r="O848" s="1">
        <v>0.54</v>
      </c>
      <c r="P848" s="1">
        <v>0</v>
      </c>
    </row>
    <row r="849" spans="1:16">
      <c r="A849" s="1" t="str">
        <f>"20170620"</f>
        <v>20170620</v>
      </c>
      <c r="B849" s="1"/>
      <c r="C849" s="1"/>
      <c r="D849" s="1" t="str">
        <f>"利息归本"</f>
        <v>利息归本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1.47</v>
      </c>
      <c r="O849" s="1">
        <v>2.01</v>
      </c>
      <c r="P849" s="1">
        <v>0</v>
      </c>
    </row>
    <row r="850" spans="1:16">
      <c r="A850" s="1" t="str">
        <f t="shared" ref="A850:A855" si="333">"20170630"</f>
        <v>20170630</v>
      </c>
      <c r="B850" s="1" t="str">
        <f>"000667"</f>
        <v>000667</v>
      </c>
      <c r="C850" s="1" t="str">
        <f>"美好置业"</f>
        <v>美好置业</v>
      </c>
      <c r="D850" s="1" t="str">
        <f>"担保品卖出"</f>
        <v>担保品卖出</v>
      </c>
      <c r="E850" s="1">
        <v>3.3</v>
      </c>
      <c r="F850" s="1">
        <v>9300</v>
      </c>
      <c r="G850" s="1">
        <v>30690</v>
      </c>
      <c r="H850" s="1">
        <v>9.51</v>
      </c>
      <c r="I850" s="1">
        <v>6.8</v>
      </c>
      <c r="J850" s="1">
        <v>30.69</v>
      </c>
      <c r="K850" s="1">
        <v>0</v>
      </c>
      <c r="L850" s="1">
        <v>0</v>
      </c>
      <c r="M850" s="1">
        <v>0</v>
      </c>
      <c r="N850" s="1">
        <v>30649.8</v>
      </c>
      <c r="O850" s="1">
        <v>30651.81</v>
      </c>
      <c r="P850" s="1">
        <v>7000</v>
      </c>
    </row>
    <row r="851" spans="1:16">
      <c r="A851" s="1" t="str">
        <f t="shared" si="333"/>
        <v>20170630</v>
      </c>
      <c r="B851" s="1" t="str">
        <f>"600066"</f>
        <v>600066</v>
      </c>
      <c r="C851" s="1" t="str">
        <f>"宇通客车"</f>
        <v>宇通客车</v>
      </c>
      <c r="D851" s="1" t="str">
        <f>"担保品买入"</f>
        <v>担保品买入</v>
      </c>
      <c r="E851" s="1">
        <v>21.91</v>
      </c>
      <c r="F851" s="1">
        <v>500</v>
      </c>
      <c r="G851" s="1">
        <v>10955</v>
      </c>
      <c r="H851" s="1">
        <v>5</v>
      </c>
      <c r="I851" s="1">
        <v>4.25</v>
      </c>
      <c r="J851" s="1">
        <v>0</v>
      </c>
      <c r="K851" s="1">
        <v>0.22</v>
      </c>
      <c r="L851" s="1">
        <v>0</v>
      </c>
      <c r="M851" s="1">
        <v>0</v>
      </c>
      <c r="N851" s="1">
        <v>-10960.22</v>
      </c>
      <c r="O851" s="1">
        <v>19691.59</v>
      </c>
      <c r="P851" s="1">
        <v>1000</v>
      </c>
    </row>
    <row r="852" spans="1:16">
      <c r="A852" s="1" t="str">
        <f t="shared" si="333"/>
        <v>20170630</v>
      </c>
      <c r="B852" s="1" t="str">
        <f>"002183"</f>
        <v>002183</v>
      </c>
      <c r="C852" s="1" t="str">
        <f>"怡 亚 通"</f>
        <v>怡 亚 通</v>
      </c>
      <c r="D852" s="1" t="str">
        <f>"融资买入"</f>
        <v>融资买入</v>
      </c>
      <c r="E852" s="1">
        <v>8.68</v>
      </c>
      <c r="F852" s="1">
        <v>2500</v>
      </c>
      <c r="G852" s="1">
        <v>21700</v>
      </c>
      <c r="H852" s="1">
        <v>23.87</v>
      </c>
      <c r="I852" s="1">
        <v>21.95</v>
      </c>
      <c r="J852" s="1">
        <v>0</v>
      </c>
      <c r="K852" s="1">
        <v>0</v>
      </c>
      <c r="L852" s="1">
        <v>0</v>
      </c>
      <c r="M852" s="1">
        <v>0</v>
      </c>
      <c r="N852" s="1">
        <v>-21723.87</v>
      </c>
      <c r="O852" s="1">
        <v>-2032.28</v>
      </c>
      <c r="P852" s="1">
        <v>5000</v>
      </c>
    </row>
    <row r="853" spans="1:16">
      <c r="A853" s="1" t="str">
        <f t="shared" si="333"/>
        <v>20170630</v>
      </c>
      <c r="B853" s="1"/>
      <c r="C853" s="1"/>
      <c r="D853" s="1" t="str">
        <f>"融资借入"</f>
        <v>融资借入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21723.87</v>
      </c>
      <c r="O853" s="1">
        <v>19691.59</v>
      </c>
      <c r="P853" s="1">
        <v>0</v>
      </c>
    </row>
    <row r="854" spans="1:16">
      <c r="A854" s="1" t="str">
        <f t="shared" si="333"/>
        <v>20170630</v>
      </c>
      <c r="B854" s="1"/>
      <c r="C854" s="1"/>
      <c r="D854" s="1" t="str">
        <f>"偿还融资负债本金"</f>
        <v>偿还融资负债本金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-17719.47</v>
      </c>
      <c r="O854" s="1">
        <v>1972.12</v>
      </c>
      <c r="P854" s="1">
        <v>0</v>
      </c>
    </row>
    <row r="855" spans="1:16">
      <c r="A855" s="1" t="str">
        <f t="shared" si="333"/>
        <v>20170630</v>
      </c>
      <c r="B855" s="1"/>
      <c r="C855" s="1"/>
      <c r="D855" s="1" t="str">
        <f>"偿还融资利息"</f>
        <v>偿还融资利息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-94.53</v>
      </c>
      <c r="O855" s="1">
        <v>1877.59</v>
      </c>
      <c r="P855" s="1">
        <v>0</v>
      </c>
    </row>
    <row r="856" spans="1:16">
      <c r="A856" s="1" t="str">
        <f>"20170703"</f>
        <v>20170703</v>
      </c>
      <c r="B856" s="1" t="str">
        <f>"000667"</f>
        <v>000667</v>
      </c>
      <c r="C856" s="1" t="str">
        <f>"美好置业"</f>
        <v>美好置业</v>
      </c>
      <c r="D856" s="1" t="str">
        <f>"股息红利差异扣税"</f>
        <v>股息红利差异扣税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-23.25</v>
      </c>
      <c r="O856" s="1">
        <v>1854.34</v>
      </c>
      <c r="P856" s="1">
        <v>0</v>
      </c>
    </row>
    <row r="857" spans="1:16">
      <c r="A857" s="1" t="str">
        <f t="shared" ref="A857:A862" si="334">"20170710"</f>
        <v>20170710</v>
      </c>
      <c r="B857" s="1" t="str">
        <f>"002183"</f>
        <v>002183</v>
      </c>
      <c r="C857" s="1" t="str">
        <f>"怡 亚 通"</f>
        <v>怡 亚 通</v>
      </c>
      <c r="D857" s="1" t="str">
        <f>"担保品卖出"</f>
        <v>担保品卖出</v>
      </c>
      <c r="E857" s="1">
        <v>8.86</v>
      </c>
      <c r="F857" s="1">
        <v>2500</v>
      </c>
      <c r="G857" s="1">
        <v>22150</v>
      </c>
      <c r="H857" s="1">
        <v>6.87</v>
      </c>
      <c r="I857" s="1">
        <v>4.91</v>
      </c>
      <c r="J857" s="1">
        <v>22.15</v>
      </c>
      <c r="K857" s="1">
        <v>0</v>
      </c>
      <c r="L857" s="1">
        <v>0</v>
      </c>
      <c r="M857" s="1">
        <v>0</v>
      </c>
      <c r="N857" s="1">
        <v>22120.98</v>
      </c>
      <c r="O857" s="1">
        <v>23975.32</v>
      </c>
      <c r="P857" s="1">
        <v>2500</v>
      </c>
    </row>
    <row r="858" spans="1:16">
      <c r="A858" s="1" t="str">
        <f t="shared" si="334"/>
        <v>20170710</v>
      </c>
      <c r="B858" s="1" t="str">
        <f>"002183"</f>
        <v>002183</v>
      </c>
      <c r="C858" s="1" t="str">
        <f>"怡 亚 通"</f>
        <v>怡 亚 通</v>
      </c>
      <c r="D858" s="1" t="str">
        <f>"融资买入"</f>
        <v>融资买入</v>
      </c>
      <c r="E858" s="1">
        <v>8.77</v>
      </c>
      <c r="F858" s="1">
        <v>2500</v>
      </c>
      <c r="G858" s="1">
        <v>21925</v>
      </c>
      <c r="H858" s="1">
        <v>24.12</v>
      </c>
      <c r="I858" s="1">
        <v>22.18</v>
      </c>
      <c r="J858" s="1">
        <v>0</v>
      </c>
      <c r="K858" s="1">
        <v>0</v>
      </c>
      <c r="L858" s="1">
        <v>0</v>
      </c>
      <c r="M858" s="1">
        <v>0</v>
      </c>
      <c r="N858" s="1">
        <v>-21949.12</v>
      </c>
      <c r="O858" s="1">
        <v>2026.2</v>
      </c>
      <c r="P858" s="1">
        <v>5000</v>
      </c>
    </row>
    <row r="859" spans="1:16">
      <c r="A859" s="1" t="str">
        <f t="shared" si="334"/>
        <v>20170710</v>
      </c>
      <c r="B859" s="1"/>
      <c r="C859" s="1"/>
      <c r="D859" s="1" t="str">
        <f>"融资借入"</f>
        <v>融资借入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21949.12</v>
      </c>
      <c r="O859" s="1">
        <v>23975.32</v>
      </c>
      <c r="P859" s="1">
        <v>0</v>
      </c>
    </row>
    <row r="860" spans="1:16">
      <c r="A860" s="1" t="str">
        <f t="shared" si="334"/>
        <v>20170710</v>
      </c>
      <c r="B860" s="1"/>
      <c r="C860" s="1"/>
      <c r="D860" s="1" t="str">
        <f>"偿还融资负债本金"</f>
        <v>偿还融资负债本金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-21548.68</v>
      </c>
      <c r="O860" s="1">
        <v>2426.64</v>
      </c>
      <c r="P860" s="1">
        <v>0</v>
      </c>
    </row>
    <row r="861" spans="1:16">
      <c r="A861" s="1" t="str">
        <f t="shared" si="334"/>
        <v>20170710</v>
      </c>
      <c r="B861" s="1"/>
      <c r="C861" s="1"/>
      <c r="D861" s="1" t="str">
        <f>"偿还融资负债本金"</f>
        <v>偿还融资负债本金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-512.72</v>
      </c>
      <c r="O861" s="1">
        <v>1913.92</v>
      </c>
      <c r="P861" s="1">
        <v>0</v>
      </c>
    </row>
    <row r="862" spans="1:16">
      <c r="A862" s="1" t="str">
        <f t="shared" si="334"/>
        <v>20170710</v>
      </c>
      <c r="B862" s="1"/>
      <c r="C862" s="1"/>
      <c r="D862" s="1" t="str">
        <f>"偿还融资利息"</f>
        <v>偿还融资利息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-165</v>
      </c>
      <c r="O862" s="1">
        <v>1748.92</v>
      </c>
      <c r="P862" s="1">
        <v>0</v>
      </c>
    </row>
    <row r="863" spans="1:16">
      <c r="A863" s="1" t="str">
        <f>"20170713"</f>
        <v>20170713</v>
      </c>
      <c r="B863" s="1" t="str">
        <f>"002183"</f>
        <v>002183</v>
      </c>
      <c r="C863" s="1" t="str">
        <f>"怡 亚 通"</f>
        <v>怡 亚 通</v>
      </c>
      <c r="D863" s="1" t="str">
        <f>"融资买入"</f>
        <v>融资买入</v>
      </c>
      <c r="E863" s="1">
        <v>8.42</v>
      </c>
      <c r="F863" s="1">
        <v>2500</v>
      </c>
      <c r="G863" s="1">
        <v>21050</v>
      </c>
      <c r="H863" s="1">
        <v>23.16</v>
      </c>
      <c r="I863" s="1">
        <v>21.29</v>
      </c>
      <c r="J863" s="1">
        <v>0</v>
      </c>
      <c r="K863" s="1">
        <v>0</v>
      </c>
      <c r="L863" s="1">
        <v>0</v>
      </c>
      <c r="M863" s="1">
        <v>0</v>
      </c>
      <c r="N863" s="1">
        <v>-21073.16</v>
      </c>
      <c r="O863" s="1">
        <v>-19324.24</v>
      </c>
      <c r="P863" s="1">
        <v>7500</v>
      </c>
    </row>
    <row r="864" spans="1:16">
      <c r="A864" s="1" t="str">
        <f>"20170713"</f>
        <v>20170713</v>
      </c>
      <c r="B864" s="1"/>
      <c r="C864" s="1"/>
      <c r="D864" s="1" t="str">
        <f>"融资借入"</f>
        <v>融资借入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21073.16</v>
      </c>
      <c r="O864" s="1">
        <v>1748.92</v>
      </c>
      <c r="P864" s="1">
        <v>0</v>
      </c>
    </row>
    <row r="865" spans="1:16">
      <c r="A865" s="1" t="str">
        <f>"20170719"</f>
        <v>20170719</v>
      </c>
      <c r="B865" s="1" t="str">
        <f>"000601"</f>
        <v>000601</v>
      </c>
      <c r="C865" s="1" t="str">
        <f>"韶能股份"</f>
        <v>韶能股份</v>
      </c>
      <c r="D865" s="1" t="str">
        <f>"红利入账"</f>
        <v>红利入账</v>
      </c>
      <c r="E865" s="1">
        <v>0</v>
      </c>
      <c r="F865" s="1">
        <v>0</v>
      </c>
      <c r="G865" s="1">
        <v>1200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1200</v>
      </c>
      <c r="O865" s="1">
        <v>2948.92</v>
      </c>
      <c r="P865" s="1">
        <v>0</v>
      </c>
    </row>
    <row r="866" spans="1:16">
      <c r="A866" s="1" t="str">
        <f>"20170720"</f>
        <v>20170720</v>
      </c>
      <c r="B866" s="1"/>
      <c r="C866" s="1"/>
      <c r="D866" s="1" t="str">
        <f>"偿还融资负债本金"</f>
        <v>偿还融资负债本金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-2852.75</v>
      </c>
      <c r="O866" s="1">
        <v>48.92</v>
      </c>
      <c r="P866" s="1">
        <v>0</v>
      </c>
    </row>
    <row r="867" spans="1:16">
      <c r="A867" s="1" t="str">
        <f>"20170720"</f>
        <v>20170720</v>
      </c>
      <c r="B867" s="1"/>
      <c r="C867" s="1"/>
      <c r="D867" s="1" t="str">
        <f>"偿还融资利息"</f>
        <v>偿还融资利息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-47.25</v>
      </c>
      <c r="O867" s="1">
        <v>2901.67</v>
      </c>
      <c r="P867" s="1">
        <v>0</v>
      </c>
    </row>
    <row r="868" spans="1:16">
      <c r="A868" s="1" t="str">
        <f t="shared" ref="A868:A870" si="335">"20170721"</f>
        <v>20170721</v>
      </c>
      <c r="B868" s="1" t="str">
        <f t="shared" ref="B868:B874" si="336">"600066"</f>
        <v>600066</v>
      </c>
      <c r="C868" s="1" t="str">
        <f t="shared" ref="C868:C874" si="337">"宇通客车"</f>
        <v>宇通客车</v>
      </c>
      <c r="D868" s="1" t="str">
        <f>"担保品卖出"</f>
        <v>担保品卖出</v>
      </c>
      <c r="E868" s="1">
        <v>23.12</v>
      </c>
      <c r="F868" s="1">
        <v>500</v>
      </c>
      <c r="G868" s="1">
        <v>11560</v>
      </c>
      <c r="H868" s="1">
        <v>5</v>
      </c>
      <c r="I868" s="1">
        <v>4.21</v>
      </c>
      <c r="J868" s="1">
        <v>11.56</v>
      </c>
      <c r="K868" s="1">
        <v>0.23</v>
      </c>
      <c r="L868" s="1">
        <v>0</v>
      </c>
      <c r="M868" s="1">
        <v>0</v>
      </c>
      <c r="N868" s="1">
        <v>11543.21</v>
      </c>
      <c r="O868" s="1">
        <v>11592.13</v>
      </c>
      <c r="P868" s="1">
        <v>500</v>
      </c>
    </row>
    <row r="869" spans="1:16">
      <c r="A869" s="1" t="str">
        <f t="shared" si="335"/>
        <v>20170721</v>
      </c>
      <c r="B869" s="1"/>
      <c r="C869" s="1"/>
      <c r="D869" s="1" t="str">
        <f>"偿还融资负债本金"</f>
        <v>偿还融资负债本金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-142.32</v>
      </c>
      <c r="O869" s="1">
        <v>11449.81</v>
      </c>
      <c r="P869" s="1">
        <v>0</v>
      </c>
    </row>
    <row r="870" spans="1:16">
      <c r="A870" s="1" t="str">
        <f t="shared" si="335"/>
        <v>20170721</v>
      </c>
      <c r="B870" s="1"/>
      <c r="C870" s="1"/>
      <c r="D870" s="1" t="str">
        <f>"偿还融资利息"</f>
        <v>偿还融资利息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-2.26</v>
      </c>
      <c r="O870" s="1">
        <v>11447.55</v>
      </c>
      <c r="P870" s="1">
        <v>0</v>
      </c>
    </row>
    <row r="871" spans="1:16">
      <c r="A871" s="1" t="str">
        <f>"20170724"</f>
        <v>20170724</v>
      </c>
      <c r="B871" s="1" t="str">
        <f t="shared" si="336"/>
        <v>600066</v>
      </c>
      <c r="C871" s="1" t="str">
        <f t="shared" si="337"/>
        <v>宇通客车</v>
      </c>
      <c r="D871" s="1" t="str">
        <f>"股息红利差异扣税"</f>
        <v>股息红利差异扣税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-50</v>
      </c>
      <c r="O871" s="1">
        <v>11397.55</v>
      </c>
      <c r="P871" s="1">
        <v>0</v>
      </c>
    </row>
    <row r="872" spans="1:16">
      <c r="A872" s="1" t="str">
        <f>"20170724"</f>
        <v>20170724</v>
      </c>
      <c r="B872" s="1" t="str">
        <f>"600575"</f>
        <v>600575</v>
      </c>
      <c r="C872" s="1" t="str">
        <f>"皖江物流"</f>
        <v>皖江物流</v>
      </c>
      <c r="D872" s="1" t="str">
        <f t="shared" ref="D872:D876" si="338">"担保品买入"</f>
        <v>担保品买入</v>
      </c>
      <c r="E872" s="1">
        <v>4.01</v>
      </c>
      <c r="F872" s="1">
        <v>2800</v>
      </c>
      <c r="G872" s="1">
        <v>11228</v>
      </c>
      <c r="H872" s="1">
        <v>5</v>
      </c>
      <c r="I872" s="1">
        <v>4.23</v>
      </c>
      <c r="J872" s="1">
        <v>0</v>
      </c>
      <c r="K872" s="1">
        <v>0.22</v>
      </c>
      <c r="L872" s="1">
        <v>0</v>
      </c>
      <c r="M872" s="1">
        <v>0</v>
      </c>
      <c r="N872" s="1">
        <v>-11233.22</v>
      </c>
      <c r="O872" s="1">
        <v>164.33</v>
      </c>
      <c r="P872" s="1">
        <v>2800</v>
      </c>
    </row>
    <row r="873" spans="1:16">
      <c r="A873" s="1" t="str">
        <f>"20170726"</f>
        <v>20170726</v>
      </c>
      <c r="B873" s="1" t="str">
        <f t="shared" si="336"/>
        <v>600066</v>
      </c>
      <c r="C873" s="1" t="str">
        <f t="shared" si="337"/>
        <v>宇通客车</v>
      </c>
      <c r="D873" s="1" t="str">
        <f>"担保品卖出"</f>
        <v>担保品卖出</v>
      </c>
      <c r="E873" s="1">
        <v>22.66</v>
      </c>
      <c r="F873" s="1">
        <v>500</v>
      </c>
      <c r="G873" s="1">
        <v>11330</v>
      </c>
      <c r="H873" s="1">
        <v>5</v>
      </c>
      <c r="I873" s="1">
        <v>4.21</v>
      </c>
      <c r="J873" s="1">
        <v>11.34</v>
      </c>
      <c r="K873" s="1">
        <v>0.23</v>
      </c>
      <c r="L873" s="1">
        <v>0</v>
      </c>
      <c r="M873" s="1">
        <v>0</v>
      </c>
      <c r="N873" s="1">
        <v>11313.43</v>
      </c>
      <c r="O873" s="1">
        <v>11477.76</v>
      </c>
      <c r="P873" s="1">
        <v>0</v>
      </c>
    </row>
    <row r="874" spans="1:16">
      <c r="A874" s="1" t="str">
        <f>"20170726"</f>
        <v>20170726</v>
      </c>
      <c r="B874" s="1" t="str">
        <f t="shared" si="336"/>
        <v>600066</v>
      </c>
      <c r="C874" s="1" t="str">
        <f t="shared" si="337"/>
        <v>宇通客车</v>
      </c>
      <c r="D874" s="1" t="str">
        <f t="shared" si="338"/>
        <v>担保品买入</v>
      </c>
      <c r="E874" s="1">
        <v>22.49</v>
      </c>
      <c r="F874" s="1">
        <v>500</v>
      </c>
      <c r="G874" s="1">
        <v>11245</v>
      </c>
      <c r="H874" s="1">
        <v>5</v>
      </c>
      <c r="I874" s="1">
        <v>4.23</v>
      </c>
      <c r="J874" s="1">
        <v>0</v>
      </c>
      <c r="K874" s="1">
        <v>0.22</v>
      </c>
      <c r="L874" s="1">
        <v>0</v>
      </c>
      <c r="M874" s="1">
        <v>0</v>
      </c>
      <c r="N874" s="1">
        <v>-11250.22</v>
      </c>
      <c r="O874" s="1">
        <v>227.54</v>
      </c>
      <c r="P874" s="1">
        <v>500</v>
      </c>
    </row>
    <row r="875" spans="1:16">
      <c r="A875" s="1" t="str">
        <f>"20170727"</f>
        <v>20170727</v>
      </c>
      <c r="B875" s="1" t="str">
        <f>"600575"</f>
        <v>600575</v>
      </c>
      <c r="C875" s="1" t="str">
        <f>"皖江物流"</f>
        <v>皖江物流</v>
      </c>
      <c r="D875" s="1" t="str">
        <f>"担保品卖出"</f>
        <v>担保品卖出</v>
      </c>
      <c r="E875" s="1">
        <v>3.92</v>
      </c>
      <c r="F875" s="1">
        <v>2800</v>
      </c>
      <c r="G875" s="1">
        <v>10976</v>
      </c>
      <c r="H875" s="1">
        <v>5</v>
      </c>
      <c r="I875" s="1">
        <v>4.25</v>
      </c>
      <c r="J875" s="1">
        <v>10.98</v>
      </c>
      <c r="K875" s="1">
        <v>0.22</v>
      </c>
      <c r="L875" s="1">
        <v>0</v>
      </c>
      <c r="M875" s="1">
        <v>0</v>
      </c>
      <c r="N875" s="1">
        <v>10959.8</v>
      </c>
      <c r="O875" s="1">
        <v>11187.34</v>
      </c>
      <c r="P875" s="1">
        <v>0</v>
      </c>
    </row>
    <row r="876" spans="1:16">
      <c r="A876" s="1" t="str">
        <f>"20170727"</f>
        <v>20170727</v>
      </c>
      <c r="B876" s="1" t="str">
        <f>"000601"</f>
        <v>000601</v>
      </c>
      <c r="C876" s="1" t="str">
        <f>"韶能股份"</f>
        <v>韶能股份</v>
      </c>
      <c r="D876" s="1" t="str">
        <f t="shared" si="338"/>
        <v>担保品买入</v>
      </c>
      <c r="E876" s="1">
        <v>7.2</v>
      </c>
      <c r="F876" s="1">
        <v>1500</v>
      </c>
      <c r="G876" s="1">
        <v>10800</v>
      </c>
      <c r="H876" s="1">
        <v>5</v>
      </c>
      <c r="I876" s="1">
        <v>4.04</v>
      </c>
      <c r="J876" s="1">
        <v>0</v>
      </c>
      <c r="K876" s="1">
        <v>0</v>
      </c>
      <c r="L876" s="1">
        <v>0</v>
      </c>
      <c r="M876" s="1">
        <v>0</v>
      </c>
      <c r="N876" s="1">
        <v>-10805</v>
      </c>
      <c r="O876" s="1">
        <v>382.34</v>
      </c>
      <c r="P876" s="1">
        <v>7500</v>
      </c>
    </row>
    <row r="877" spans="1:16">
      <c r="A877" s="1" t="str">
        <f>"20170731"</f>
        <v>20170731</v>
      </c>
      <c r="B877" s="1" t="str">
        <f>"600066"</f>
        <v>600066</v>
      </c>
      <c r="C877" s="1" t="str">
        <f>"宇通客车"</f>
        <v>宇通客车</v>
      </c>
      <c r="D877" s="1" t="str">
        <f>"融资买入"</f>
        <v>融资买入</v>
      </c>
      <c r="E877" s="1">
        <v>22.13</v>
      </c>
      <c r="F877" s="1">
        <v>500</v>
      </c>
      <c r="G877" s="1">
        <v>11065</v>
      </c>
      <c r="H877" s="1">
        <v>12.17</v>
      </c>
      <c r="I877" s="1">
        <v>11.41</v>
      </c>
      <c r="J877" s="1">
        <v>0</v>
      </c>
      <c r="K877" s="1">
        <v>0.22</v>
      </c>
      <c r="L877" s="1">
        <v>0</v>
      </c>
      <c r="M877" s="1">
        <v>0</v>
      </c>
      <c r="N877" s="1">
        <v>-11077.39</v>
      </c>
      <c r="O877" s="1">
        <v>-10695.05</v>
      </c>
      <c r="P877" s="1">
        <v>1000</v>
      </c>
    </row>
    <row r="878" spans="1:16">
      <c r="A878" s="1" t="str">
        <f>"20170731"</f>
        <v>20170731</v>
      </c>
      <c r="B878" s="1"/>
      <c r="C878" s="1"/>
      <c r="D878" s="1" t="str">
        <f>"融资借入"</f>
        <v>融资借入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11077.39</v>
      </c>
      <c r="O878" s="1">
        <v>382.34</v>
      </c>
      <c r="P878" s="1">
        <v>0</v>
      </c>
    </row>
    <row r="879" spans="1:16">
      <c r="A879" s="1" t="str">
        <f t="shared" ref="A879:A883" si="339">"20170801"</f>
        <v>20170801</v>
      </c>
      <c r="B879" s="1" t="str">
        <f>"600066"</f>
        <v>600066</v>
      </c>
      <c r="C879" s="1" t="str">
        <f>"宇通客车"</f>
        <v>宇通客车</v>
      </c>
      <c r="D879" s="1" t="str">
        <f>"担保品卖出"</f>
        <v>担保品卖出</v>
      </c>
      <c r="E879" s="1">
        <v>22.39</v>
      </c>
      <c r="F879" s="1">
        <v>500</v>
      </c>
      <c r="G879" s="1">
        <v>11195</v>
      </c>
      <c r="H879" s="1">
        <v>5</v>
      </c>
      <c r="I879" s="1">
        <v>4.23</v>
      </c>
      <c r="J879" s="1">
        <v>11.2</v>
      </c>
      <c r="K879" s="1">
        <v>0.22</v>
      </c>
      <c r="L879" s="1">
        <v>0</v>
      </c>
      <c r="M879" s="1">
        <v>0</v>
      </c>
      <c r="N879" s="1">
        <v>11178.58</v>
      </c>
      <c r="O879" s="1">
        <v>11560.92</v>
      </c>
      <c r="P879" s="1">
        <v>500</v>
      </c>
    </row>
    <row r="880" spans="1:16">
      <c r="A880" s="1" t="str">
        <f t="shared" si="339"/>
        <v>20170801</v>
      </c>
      <c r="B880" s="1"/>
      <c r="C880" s="1"/>
      <c r="D880" s="1" t="str">
        <f>"偿还融资负债本金"</f>
        <v>偿还融资负债本金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-298.92</v>
      </c>
      <c r="O880" s="1">
        <v>11260.92</v>
      </c>
      <c r="P880" s="1">
        <v>0</v>
      </c>
    </row>
    <row r="881" spans="1:16">
      <c r="A881" s="1" t="str">
        <f t="shared" si="339"/>
        <v>20170801</v>
      </c>
      <c r="B881" s="1"/>
      <c r="C881" s="1"/>
      <c r="D881" s="1" t="str">
        <f>"偿还融资利息"</f>
        <v>偿还融资利息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-1.08</v>
      </c>
      <c r="O881" s="1">
        <v>11559.84</v>
      </c>
      <c r="P881" s="1">
        <v>0</v>
      </c>
    </row>
    <row r="882" spans="1:16">
      <c r="A882" s="1" t="str">
        <f t="shared" si="339"/>
        <v>20170801</v>
      </c>
      <c r="B882" s="1"/>
      <c r="C882" s="1"/>
      <c r="D882" s="1" t="str">
        <f>"偿还融资负债本金"</f>
        <v>偿还融资负债本金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-11077.39</v>
      </c>
      <c r="O882" s="1">
        <v>183.53</v>
      </c>
      <c r="P882" s="1">
        <v>0</v>
      </c>
    </row>
    <row r="883" spans="1:16">
      <c r="A883" s="1" t="str">
        <f t="shared" si="339"/>
        <v>20170801</v>
      </c>
      <c r="B883" s="1"/>
      <c r="C883" s="1"/>
      <c r="D883" s="1" t="str">
        <f>"偿还融资利息"</f>
        <v>偿还融资利息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-2.57</v>
      </c>
      <c r="O883" s="1">
        <v>180.96</v>
      </c>
      <c r="P883" s="1">
        <v>0</v>
      </c>
    </row>
    <row r="884" spans="1:16">
      <c r="A884" s="1" t="str">
        <f>"20170808"</f>
        <v>20170808</v>
      </c>
      <c r="B884" s="1" t="str">
        <f>"600066"</f>
        <v>600066</v>
      </c>
      <c r="C884" s="1" t="str">
        <f>"宇通客车"</f>
        <v>宇通客车</v>
      </c>
      <c r="D884" s="1" t="str">
        <f>"担保品卖出"</f>
        <v>担保品卖出</v>
      </c>
      <c r="E884" s="1">
        <v>22.018</v>
      </c>
      <c r="F884" s="1">
        <v>500</v>
      </c>
      <c r="G884" s="1">
        <v>11009</v>
      </c>
      <c r="H884" s="1">
        <v>5</v>
      </c>
      <c r="I884" s="1">
        <v>4.24</v>
      </c>
      <c r="J884" s="1">
        <v>11.01</v>
      </c>
      <c r="K884" s="1">
        <v>0.22</v>
      </c>
      <c r="L884" s="1">
        <v>0</v>
      </c>
      <c r="M884" s="1">
        <v>0</v>
      </c>
      <c r="N884" s="1">
        <v>10992.77</v>
      </c>
      <c r="O884" s="1">
        <v>11173.73</v>
      </c>
      <c r="P884" s="1">
        <v>0</v>
      </c>
    </row>
    <row r="885" spans="1:16">
      <c r="A885" s="1" t="str">
        <f>"20170808"</f>
        <v>20170808</v>
      </c>
      <c r="B885" s="1" t="str">
        <f>"601866"</f>
        <v>601866</v>
      </c>
      <c r="C885" s="1" t="str">
        <f>"中远海发"</f>
        <v>中远海发</v>
      </c>
      <c r="D885" s="1" t="str">
        <f>"担保品买入"</f>
        <v>担保品买入</v>
      </c>
      <c r="E885" s="1">
        <v>4.17</v>
      </c>
      <c r="F885" s="1">
        <v>2600</v>
      </c>
      <c r="G885" s="1">
        <v>10842</v>
      </c>
      <c r="H885" s="1">
        <v>5</v>
      </c>
      <c r="I885" s="1">
        <v>4.25</v>
      </c>
      <c r="J885" s="1">
        <v>0</v>
      </c>
      <c r="K885" s="1">
        <v>0.22</v>
      </c>
      <c r="L885" s="1">
        <v>0</v>
      </c>
      <c r="M885" s="1">
        <v>0</v>
      </c>
      <c r="N885" s="1">
        <v>-10847.22</v>
      </c>
      <c r="O885" s="1">
        <v>326.51</v>
      </c>
      <c r="P885" s="1">
        <v>2600</v>
      </c>
    </row>
    <row r="886" spans="1:16">
      <c r="A886" s="1" t="str">
        <f t="shared" ref="A886:A890" si="340">"20170809"</f>
        <v>20170809</v>
      </c>
      <c r="B886" s="1" t="str">
        <f>"601866"</f>
        <v>601866</v>
      </c>
      <c r="C886" s="1" t="str">
        <f>"中远海发"</f>
        <v>中远海发</v>
      </c>
      <c r="D886" s="1" t="str">
        <f>"担保品卖出"</f>
        <v>担保品卖出</v>
      </c>
      <c r="E886" s="1">
        <v>4.05</v>
      </c>
      <c r="F886" s="1">
        <v>2600</v>
      </c>
      <c r="G886" s="1">
        <v>10530</v>
      </c>
      <c r="H886" s="1">
        <v>5</v>
      </c>
      <c r="I886" s="1">
        <v>4.28</v>
      </c>
      <c r="J886" s="1">
        <v>10.54</v>
      </c>
      <c r="K886" s="1">
        <v>0.21</v>
      </c>
      <c r="L886" s="1">
        <v>0</v>
      </c>
      <c r="M886" s="1">
        <v>0</v>
      </c>
      <c r="N886" s="1">
        <v>10514.25</v>
      </c>
      <c r="O886" s="1">
        <v>10840.76</v>
      </c>
      <c r="P886" s="1">
        <v>0</v>
      </c>
    </row>
    <row r="887" spans="1:16">
      <c r="A887" s="1" t="str">
        <f t="shared" si="340"/>
        <v>20170809</v>
      </c>
      <c r="B887" s="1"/>
      <c r="C887" s="1"/>
      <c r="D887" s="1" t="str">
        <f>"偿还融资负债本金"</f>
        <v>偿还融资负债本金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-81.01</v>
      </c>
      <c r="O887" s="1">
        <v>10759.59</v>
      </c>
      <c r="P887" s="1">
        <v>0</v>
      </c>
    </row>
    <row r="888" spans="1:16">
      <c r="A888" s="1" t="str">
        <f t="shared" si="340"/>
        <v>20170809</v>
      </c>
      <c r="B888" s="1"/>
      <c r="C888" s="1"/>
      <c r="D888" s="1" t="str">
        <f>"偿还融资利息"</f>
        <v>偿还融资利息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-0.16</v>
      </c>
      <c r="O888" s="1">
        <v>10840.6</v>
      </c>
      <c r="P888" s="1">
        <v>0</v>
      </c>
    </row>
    <row r="889" spans="1:16">
      <c r="A889" s="1" t="str">
        <f t="shared" si="340"/>
        <v>20170809</v>
      </c>
      <c r="B889" s="1"/>
      <c r="C889" s="1"/>
      <c r="D889" s="1" t="str">
        <f>"偿还融资负债本金"</f>
        <v>偿还融资负债本金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-9720.83</v>
      </c>
      <c r="O889" s="1">
        <v>840.76</v>
      </c>
      <c r="P889" s="1">
        <v>0</v>
      </c>
    </row>
    <row r="890" spans="1:16">
      <c r="A890" s="1" t="str">
        <f t="shared" si="340"/>
        <v>20170809</v>
      </c>
      <c r="B890" s="1"/>
      <c r="C890" s="1"/>
      <c r="D890" s="1" t="str">
        <f>"偿还融资利息"</f>
        <v>偿还融资利息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-198</v>
      </c>
      <c r="O890" s="1">
        <v>10561.59</v>
      </c>
      <c r="P890" s="1">
        <v>0</v>
      </c>
    </row>
    <row r="891" spans="1:16">
      <c r="A891" s="1" t="str">
        <f t="shared" ref="A891:A894" si="341">"20170814"</f>
        <v>20170814</v>
      </c>
      <c r="B891" s="1" t="str">
        <f>"000667"</f>
        <v>000667</v>
      </c>
      <c r="C891" s="1" t="str">
        <f>"美好置业"</f>
        <v>美好置业</v>
      </c>
      <c r="D891" s="1" t="str">
        <f>"融资买入"</f>
        <v>融资买入</v>
      </c>
      <c r="E891" s="1">
        <v>3.35</v>
      </c>
      <c r="F891" s="1">
        <v>9000</v>
      </c>
      <c r="G891" s="1">
        <v>30150</v>
      </c>
      <c r="H891" s="1">
        <v>15.08</v>
      </c>
      <c r="I891" s="1">
        <v>12.41</v>
      </c>
      <c r="J891" s="1">
        <v>0</v>
      </c>
      <c r="K891" s="1">
        <v>0</v>
      </c>
      <c r="L891" s="1">
        <v>0</v>
      </c>
      <c r="M891" s="1">
        <v>0</v>
      </c>
      <c r="N891" s="1">
        <v>-30165.08</v>
      </c>
      <c r="O891" s="1">
        <v>-29324.32</v>
      </c>
      <c r="P891" s="1">
        <v>16000</v>
      </c>
    </row>
    <row r="892" spans="1:16">
      <c r="A892" s="1" t="str">
        <f t="shared" si="341"/>
        <v>20170814</v>
      </c>
      <c r="B892" s="1" t="str">
        <f>"600886"</f>
        <v>600886</v>
      </c>
      <c r="C892" s="1" t="str">
        <f>"国投电力"</f>
        <v>国投电力</v>
      </c>
      <c r="D892" s="1" t="str">
        <f>"融资买入"</f>
        <v>融资买入</v>
      </c>
      <c r="E892" s="1">
        <v>7.74</v>
      </c>
      <c r="F892" s="1">
        <v>3000</v>
      </c>
      <c r="G892" s="1">
        <v>23220</v>
      </c>
      <c r="H892" s="1">
        <v>11.61</v>
      </c>
      <c r="I892" s="1">
        <v>10.02</v>
      </c>
      <c r="J892" s="1">
        <v>0</v>
      </c>
      <c r="K892" s="1">
        <v>0.46</v>
      </c>
      <c r="L892" s="1">
        <v>0</v>
      </c>
      <c r="M892" s="1">
        <v>0</v>
      </c>
      <c r="N892" s="1">
        <v>-23232.07</v>
      </c>
      <c r="O892" s="1">
        <v>-52556.39</v>
      </c>
      <c r="P892" s="1">
        <v>27800</v>
      </c>
    </row>
    <row r="893" spans="1:16">
      <c r="A893" s="1" t="str">
        <f t="shared" si="341"/>
        <v>20170814</v>
      </c>
      <c r="B893" s="1"/>
      <c r="C893" s="1"/>
      <c r="D893" s="1" t="str">
        <f>"融资借入"</f>
        <v>融资借入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23232.07</v>
      </c>
      <c r="O893" s="1">
        <v>-29324.32</v>
      </c>
      <c r="P893" s="1">
        <v>0</v>
      </c>
    </row>
    <row r="894" spans="1:16">
      <c r="A894" s="1" t="str">
        <f t="shared" si="341"/>
        <v>20170814</v>
      </c>
      <c r="B894" s="1"/>
      <c r="C894" s="1"/>
      <c r="D894" s="1" t="str">
        <f>"融资借入"</f>
        <v>融资借入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30165.08</v>
      </c>
      <c r="O894" s="1">
        <v>840.76</v>
      </c>
      <c r="P894" s="1">
        <v>0</v>
      </c>
    </row>
    <row r="895" spans="1:16">
      <c r="A895" s="1" t="str">
        <f t="shared" ref="A895:A897" si="342">"20170815"</f>
        <v>20170815</v>
      </c>
      <c r="B895" s="1" t="str">
        <f>"600886"</f>
        <v>600886</v>
      </c>
      <c r="C895" s="1" t="str">
        <f>"国投电力"</f>
        <v>国投电力</v>
      </c>
      <c r="D895" s="1" t="str">
        <f>"担保品卖出"</f>
        <v>担保品卖出</v>
      </c>
      <c r="E895" s="1">
        <v>7.82</v>
      </c>
      <c r="F895" s="1">
        <v>3000</v>
      </c>
      <c r="G895" s="1">
        <v>23460</v>
      </c>
      <c r="H895" s="1">
        <v>7.27</v>
      </c>
      <c r="I895" s="1">
        <v>5.65</v>
      </c>
      <c r="J895" s="1">
        <v>23.46</v>
      </c>
      <c r="K895" s="1">
        <v>0.47</v>
      </c>
      <c r="L895" s="1">
        <v>0</v>
      </c>
      <c r="M895" s="1">
        <v>0</v>
      </c>
      <c r="N895" s="1">
        <v>23428.8</v>
      </c>
      <c r="O895" s="1">
        <v>24269.56</v>
      </c>
      <c r="P895" s="1">
        <v>24800</v>
      </c>
    </row>
    <row r="896" spans="1:16">
      <c r="A896" s="1" t="str">
        <f t="shared" si="342"/>
        <v>20170815</v>
      </c>
      <c r="B896" s="1"/>
      <c r="C896" s="1"/>
      <c r="D896" s="1" t="str">
        <f t="shared" ref="D896:D901" si="343">"偿还融资负债本金"</f>
        <v>偿还融资负债本金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-23232.07</v>
      </c>
      <c r="O896" s="1">
        <v>1037.49</v>
      </c>
      <c r="P896" s="1">
        <v>0</v>
      </c>
    </row>
    <row r="897" spans="1:16">
      <c r="A897" s="1" t="str">
        <f t="shared" si="342"/>
        <v>20170815</v>
      </c>
      <c r="B897" s="1"/>
      <c r="C897" s="1"/>
      <c r="D897" s="1" t="str">
        <f t="shared" ref="D897:D902" si="344">"偿还融资利息"</f>
        <v>偿还融资利息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-5.39</v>
      </c>
      <c r="O897" s="1">
        <v>1032.1</v>
      </c>
      <c r="P897" s="1">
        <v>0</v>
      </c>
    </row>
    <row r="898" spans="1:16">
      <c r="A898" s="1" t="str">
        <f t="shared" ref="A898:A902" si="345">"20170816"</f>
        <v>20170816</v>
      </c>
      <c r="B898" s="1" t="str">
        <f>"000667"</f>
        <v>000667</v>
      </c>
      <c r="C898" s="1" t="str">
        <f>"美好置业"</f>
        <v>美好置业</v>
      </c>
      <c r="D898" s="1" t="str">
        <f>"担保品卖出"</f>
        <v>担保品卖出</v>
      </c>
      <c r="E898" s="1">
        <v>3.37</v>
      </c>
      <c r="F898" s="1">
        <v>9000</v>
      </c>
      <c r="G898" s="1">
        <v>30330</v>
      </c>
      <c r="H898" s="1">
        <v>9.4</v>
      </c>
      <c r="I898" s="1">
        <v>6.7</v>
      </c>
      <c r="J898" s="1">
        <v>30.33</v>
      </c>
      <c r="K898" s="1">
        <v>0</v>
      </c>
      <c r="L898" s="1">
        <v>0</v>
      </c>
      <c r="M898" s="1">
        <v>0</v>
      </c>
      <c r="N898" s="1">
        <v>30290.27</v>
      </c>
      <c r="O898" s="1">
        <v>31322.37</v>
      </c>
      <c r="P898" s="1">
        <v>7000</v>
      </c>
    </row>
    <row r="899" spans="1:16">
      <c r="A899" s="1" t="str">
        <f t="shared" si="345"/>
        <v>20170816</v>
      </c>
      <c r="B899" s="1"/>
      <c r="C899" s="1"/>
      <c r="D899" s="1" t="str">
        <f t="shared" si="343"/>
        <v>偿还融资负债本金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-981.32</v>
      </c>
      <c r="O899" s="1">
        <v>30322.37</v>
      </c>
      <c r="P899" s="1">
        <v>0</v>
      </c>
    </row>
    <row r="900" spans="1:16">
      <c r="A900" s="1" t="str">
        <f t="shared" si="345"/>
        <v>20170816</v>
      </c>
      <c r="B900" s="1"/>
      <c r="C900" s="1"/>
      <c r="D900" s="1" t="str">
        <f t="shared" si="344"/>
        <v>偿还融资利息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-18.68</v>
      </c>
      <c r="O900" s="1">
        <v>31303.69</v>
      </c>
      <c r="P900" s="1">
        <v>0</v>
      </c>
    </row>
    <row r="901" spans="1:16">
      <c r="A901" s="1" t="str">
        <f t="shared" si="345"/>
        <v>20170816</v>
      </c>
      <c r="B901" s="1"/>
      <c r="C901" s="1"/>
      <c r="D901" s="1" t="str">
        <f t="shared" si="343"/>
        <v>偿还融资负债本金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-30165.08</v>
      </c>
      <c r="O901" s="1">
        <v>157.29</v>
      </c>
      <c r="P901" s="1">
        <v>0</v>
      </c>
    </row>
    <row r="902" spans="1:16">
      <c r="A902" s="1" t="str">
        <f t="shared" si="345"/>
        <v>20170816</v>
      </c>
      <c r="B902" s="1"/>
      <c r="C902" s="1"/>
      <c r="D902" s="1" t="str">
        <f t="shared" si="344"/>
        <v>偿还融资利息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-14</v>
      </c>
      <c r="O902" s="1">
        <v>143.29</v>
      </c>
      <c r="P902" s="1">
        <v>0</v>
      </c>
    </row>
    <row r="903" spans="1:16">
      <c r="A903" s="1" t="str">
        <f>"20170817"</f>
        <v>20170817</v>
      </c>
      <c r="B903" s="1" t="str">
        <f>"000667"</f>
        <v>000667</v>
      </c>
      <c r="C903" s="1" t="str">
        <f>"美好置业"</f>
        <v>美好置业</v>
      </c>
      <c r="D903" s="1" t="str">
        <f>"股息红利差异扣税"</f>
        <v>股息红利差异扣税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-5</v>
      </c>
      <c r="O903" s="1">
        <v>138.29</v>
      </c>
      <c r="P903" s="1">
        <v>0</v>
      </c>
    </row>
    <row r="904" spans="1:16">
      <c r="A904" s="1" t="str">
        <f>"20170823"</f>
        <v>20170823</v>
      </c>
      <c r="B904" s="1" t="str">
        <f>"000768"</f>
        <v>000768</v>
      </c>
      <c r="C904" s="1" t="str">
        <f>"中航飞机"</f>
        <v>中航飞机</v>
      </c>
      <c r="D904" s="1" t="str">
        <f>"融资买入"</f>
        <v>融资买入</v>
      </c>
      <c r="E904" s="1">
        <v>19.1</v>
      </c>
      <c r="F904" s="1">
        <v>500</v>
      </c>
      <c r="G904" s="1">
        <v>9550</v>
      </c>
      <c r="H904" s="1">
        <v>5</v>
      </c>
      <c r="I904" s="1">
        <v>4.15</v>
      </c>
      <c r="J904" s="1">
        <v>0</v>
      </c>
      <c r="K904" s="1">
        <v>0</v>
      </c>
      <c r="L904" s="1">
        <v>0</v>
      </c>
      <c r="M904" s="1">
        <v>0</v>
      </c>
      <c r="N904" s="1">
        <v>-9555</v>
      </c>
      <c r="O904" s="1">
        <v>-9416.71</v>
      </c>
      <c r="P904" s="1">
        <v>500</v>
      </c>
    </row>
    <row r="905" spans="1:16">
      <c r="A905" s="1" t="str">
        <f>"20170823"</f>
        <v>20170823</v>
      </c>
      <c r="B905" s="1"/>
      <c r="C905" s="1"/>
      <c r="D905" s="1" t="str">
        <f>"融资借入"</f>
        <v>融资借入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9555</v>
      </c>
      <c r="O905" s="1">
        <v>138.29</v>
      </c>
      <c r="P905" s="1">
        <v>0</v>
      </c>
    </row>
    <row r="906" spans="1:16">
      <c r="A906" s="1" t="str">
        <f t="shared" ref="A906:A912" si="346">"20170824"</f>
        <v>20170824</v>
      </c>
      <c r="B906" s="1" t="str">
        <f>"600886"</f>
        <v>600886</v>
      </c>
      <c r="C906" s="1" t="str">
        <f>"国投电力"</f>
        <v>国投电力</v>
      </c>
      <c r="D906" s="1" t="str">
        <f>"红利入账"</f>
        <v>红利入账</v>
      </c>
      <c r="E906" s="1">
        <v>0</v>
      </c>
      <c r="F906" s="1">
        <v>27800</v>
      </c>
      <c r="G906" s="1">
        <v>5615.6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5615.6</v>
      </c>
      <c r="O906" s="1">
        <v>5753.89</v>
      </c>
      <c r="P906" s="1">
        <v>0</v>
      </c>
    </row>
    <row r="907" spans="1:16">
      <c r="A907" s="1" t="str">
        <f t="shared" si="346"/>
        <v>20170824</v>
      </c>
      <c r="B907" s="1" t="str">
        <f>"000768"</f>
        <v>000768</v>
      </c>
      <c r="C907" s="1" t="str">
        <f>"中航飞机"</f>
        <v>中航飞机</v>
      </c>
      <c r="D907" s="1" t="str">
        <f>"担保品卖出"</f>
        <v>担保品卖出</v>
      </c>
      <c r="E907" s="1">
        <v>18.96</v>
      </c>
      <c r="F907" s="1">
        <v>500</v>
      </c>
      <c r="G907" s="1">
        <v>9480</v>
      </c>
      <c r="H907" s="1">
        <v>5</v>
      </c>
      <c r="I907" s="1">
        <v>4.16</v>
      </c>
      <c r="J907" s="1">
        <v>9.48</v>
      </c>
      <c r="K907" s="1">
        <v>0</v>
      </c>
      <c r="L907" s="1">
        <v>0</v>
      </c>
      <c r="M907" s="1">
        <v>0</v>
      </c>
      <c r="N907" s="1">
        <v>9465.52</v>
      </c>
      <c r="O907" s="1">
        <v>15219.41</v>
      </c>
      <c r="P907" s="1">
        <v>0</v>
      </c>
    </row>
    <row r="908" spans="1:16">
      <c r="A908" s="1" t="str">
        <f t="shared" si="346"/>
        <v>20170824</v>
      </c>
      <c r="B908" s="1" t="str">
        <f>"600886"</f>
        <v>600886</v>
      </c>
      <c r="C908" s="1" t="str">
        <f>"国投电力"</f>
        <v>国投电力</v>
      </c>
      <c r="D908" s="1" t="str">
        <f>"融资买入"</f>
        <v>融资买入</v>
      </c>
      <c r="E908" s="1">
        <v>7.73</v>
      </c>
      <c r="F908" s="1">
        <v>3000</v>
      </c>
      <c r="G908" s="1">
        <v>23190</v>
      </c>
      <c r="H908" s="1">
        <v>11.6</v>
      </c>
      <c r="I908" s="1">
        <v>10.01</v>
      </c>
      <c r="J908" s="1">
        <v>0</v>
      </c>
      <c r="K908" s="1">
        <v>0.46</v>
      </c>
      <c r="L908" s="1">
        <v>0</v>
      </c>
      <c r="M908" s="1">
        <v>0</v>
      </c>
      <c r="N908" s="1">
        <v>-23202.06</v>
      </c>
      <c r="O908" s="1">
        <v>-7982.65</v>
      </c>
      <c r="P908" s="1">
        <v>27800</v>
      </c>
    </row>
    <row r="909" spans="1:16">
      <c r="A909" s="1" t="str">
        <f t="shared" si="346"/>
        <v>20170824</v>
      </c>
      <c r="B909" s="1"/>
      <c r="C909" s="1"/>
      <c r="D909" s="1" t="str">
        <f>"融资借入"</f>
        <v>融资借入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23202.06</v>
      </c>
      <c r="O909" s="1">
        <v>15219.41</v>
      </c>
      <c r="P909" s="1">
        <v>0</v>
      </c>
    </row>
    <row r="910" spans="1:16">
      <c r="A910" s="1" t="str">
        <f t="shared" si="346"/>
        <v>20170824</v>
      </c>
      <c r="B910" s="1"/>
      <c r="C910" s="1"/>
      <c r="D910" s="1" t="str">
        <f t="shared" ref="D910:D913" si="347">"偿还融资负债本金"</f>
        <v>偿还融资负债本金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-80.48</v>
      </c>
      <c r="O910" s="1">
        <v>15119.41</v>
      </c>
      <c r="P910" s="1">
        <v>0</v>
      </c>
    </row>
    <row r="911" spans="1:16">
      <c r="A911" s="1" t="str">
        <f t="shared" si="346"/>
        <v>20170824</v>
      </c>
      <c r="B911" s="1"/>
      <c r="C911" s="1"/>
      <c r="D911" s="1" t="str">
        <f>"偿还融资利息"</f>
        <v>偿还融资利息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-19.52</v>
      </c>
      <c r="O911" s="1">
        <v>15199.89</v>
      </c>
      <c r="P911" s="1">
        <v>0</v>
      </c>
    </row>
    <row r="912" spans="1:16">
      <c r="A912" s="1" t="str">
        <f t="shared" si="346"/>
        <v>20170824</v>
      </c>
      <c r="B912" s="1"/>
      <c r="C912" s="1"/>
      <c r="D912" s="1" t="str">
        <f t="shared" si="347"/>
        <v>偿还融资负债本金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-9442.08</v>
      </c>
      <c r="O912" s="1">
        <v>5677.33</v>
      </c>
      <c r="P912" s="1">
        <v>0</v>
      </c>
    </row>
    <row r="913" spans="1:16">
      <c r="A913" s="1" t="str">
        <f>"20170825"</f>
        <v>20170825</v>
      </c>
      <c r="B913" s="1"/>
      <c r="C913" s="1"/>
      <c r="D913" s="1" t="str">
        <f t="shared" si="347"/>
        <v>偿还融资负债本金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-5597.58</v>
      </c>
      <c r="O913" s="1">
        <v>77.33</v>
      </c>
      <c r="P913" s="1">
        <v>0</v>
      </c>
    </row>
    <row r="914" spans="1:16">
      <c r="A914" s="1" t="str">
        <f>"20170825"</f>
        <v>20170825</v>
      </c>
      <c r="B914" s="1"/>
      <c r="C914" s="1"/>
      <c r="D914" s="1" t="str">
        <f>"偿还融资利息"</f>
        <v>偿还融资利息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-2.42</v>
      </c>
      <c r="O914" s="1">
        <v>5674.91</v>
      </c>
      <c r="P914" s="1">
        <v>0</v>
      </c>
    </row>
    <row r="915" spans="1:16">
      <c r="A915" s="1" t="str">
        <f>"20170831"</f>
        <v>20170831</v>
      </c>
      <c r="B915" s="1" t="str">
        <f>"600066"</f>
        <v>600066</v>
      </c>
      <c r="C915" s="1" t="str">
        <f>"宇通客车"</f>
        <v>宇通客车</v>
      </c>
      <c r="D915" s="1" t="str">
        <f>"融资买入"</f>
        <v>融资买入</v>
      </c>
      <c r="E915" s="1">
        <v>20.39</v>
      </c>
      <c r="F915" s="1">
        <v>500</v>
      </c>
      <c r="G915" s="1">
        <v>10195</v>
      </c>
      <c r="H915" s="1">
        <v>5.1</v>
      </c>
      <c r="I915" s="1">
        <v>4.4</v>
      </c>
      <c r="J915" s="1">
        <v>0</v>
      </c>
      <c r="K915" s="1">
        <v>0.2</v>
      </c>
      <c r="L915" s="1">
        <v>0</v>
      </c>
      <c r="M915" s="1">
        <v>0</v>
      </c>
      <c r="N915" s="1">
        <v>-10200.3</v>
      </c>
      <c r="O915" s="1">
        <v>-10122.97</v>
      </c>
      <c r="P915" s="1">
        <v>500</v>
      </c>
    </row>
    <row r="916" spans="1:16">
      <c r="A916" s="1" t="str">
        <f>"20170831"</f>
        <v>20170831</v>
      </c>
      <c r="B916" s="1"/>
      <c r="C916" s="1"/>
      <c r="D916" s="1" t="str">
        <f>"融资借入"</f>
        <v>融资借入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10200.3</v>
      </c>
      <c r="O916" s="1">
        <v>77.33</v>
      </c>
      <c r="P916" s="1">
        <v>0</v>
      </c>
    </row>
    <row r="917" spans="1:16">
      <c r="A917" s="1" t="str">
        <f t="shared" ref="A917:A921" si="348">"20170901"</f>
        <v>20170901</v>
      </c>
      <c r="B917" s="1" t="str">
        <f>"600066"</f>
        <v>600066</v>
      </c>
      <c r="C917" s="1" t="str">
        <f>"宇通客车"</f>
        <v>宇通客车</v>
      </c>
      <c r="D917" s="1" t="str">
        <f>"担保品卖出"</f>
        <v>担保品卖出</v>
      </c>
      <c r="E917" s="1">
        <v>20.74</v>
      </c>
      <c r="F917" s="1">
        <v>500</v>
      </c>
      <c r="G917" s="1">
        <v>10370</v>
      </c>
      <c r="H917" s="1">
        <v>5</v>
      </c>
      <c r="I917" s="1">
        <v>4.28</v>
      </c>
      <c r="J917" s="1">
        <v>10.37</v>
      </c>
      <c r="K917" s="1">
        <v>0.21</v>
      </c>
      <c r="L917" s="1">
        <v>0</v>
      </c>
      <c r="M917" s="1">
        <v>0</v>
      </c>
      <c r="N917" s="1">
        <v>10354.42</v>
      </c>
      <c r="O917" s="1">
        <v>10431.75</v>
      </c>
      <c r="P917" s="1">
        <v>0</v>
      </c>
    </row>
    <row r="918" spans="1:16">
      <c r="A918" s="1" t="str">
        <f t="shared" si="348"/>
        <v>20170901</v>
      </c>
      <c r="B918" s="1"/>
      <c r="C918" s="1"/>
      <c r="D918" s="1" t="str">
        <f t="shared" ref="D918:D924" si="349">"偿还融资负债本金"</f>
        <v>偿还融资负债本金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-192.16</v>
      </c>
      <c r="O918" s="1">
        <v>10231.75</v>
      </c>
      <c r="P918" s="1">
        <v>0</v>
      </c>
    </row>
    <row r="919" spans="1:16">
      <c r="A919" s="1" t="str">
        <f t="shared" si="348"/>
        <v>20170901</v>
      </c>
      <c r="B919" s="1"/>
      <c r="C919" s="1"/>
      <c r="D919" s="1" t="str">
        <f>"偿还融资利息"</f>
        <v>偿还融资利息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-7.84</v>
      </c>
      <c r="O919" s="1">
        <v>10423.91</v>
      </c>
      <c r="P919" s="1">
        <v>0</v>
      </c>
    </row>
    <row r="920" spans="1:16">
      <c r="A920" s="1" t="str">
        <f t="shared" si="348"/>
        <v>20170901</v>
      </c>
      <c r="B920" s="1"/>
      <c r="C920" s="1"/>
      <c r="D920" s="1" t="str">
        <f t="shared" si="349"/>
        <v>偿还融资负债本金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-10200.3</v>
      </c>
      <c r="O920" s="1">
        <v>31.45</v>
      </c>
      <c r="P920" s="1">
        <v>0</v>
      </c>
    </row>
    <row r="921" spans="1:16">
      <c r="A921" s="1" t="str">
        <f t="shared" si="348"/>
        <v>20170901</v>
      </c>
      <c r="B921" s="1"/>
      <c r="C921" s="1"/>
      <c r="D921" s="1" t="str">
        <f>"偿还融资利息"</f>
        <v>偿还融资利息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-2.37</v>
      </c>
      <c r="O921" s="1">
        <v>29.08</v>
      </c>
      <c r="P921" s="1">
        <v>0</v>
      </c>
    </row>
    <row r="922" spans="1:16">
      <c r="A922" s="1" t="str">
        <f t="shared" ref="A922:A925" si="350">"20170906"</f>
        <v>20170906</v>
      </c>
      <c r="B922" s="1" t="str">
        <f>"002183"</f>
        <v>002183</v>
      </c>
      <c r="C922" s="1" t="str">
        <f>"怡 亚 通"</f>
        <v>怡 亚 通</v>
      </c>
      <c r="D922" s="1" t="str">
        <f>"担保品卖出"</f>
        <v>担保品卖出</v>
      </c>
      <c r="E922" s="1">
        <v>9.28</v>
      </c>
      <c r="F922" s="1">
        <v>2500</v>
      </c>
      <c r="G922" s="1">
        <v>23200</v>
      </c>
      <c r="H922" s="1">
        <v>7.19</v>
      </c>
      <c r="I922" s="1">
        <v>5.14</v>
      </c>
      <c r="J922" s="1">
        <v>23.2</v>
      </c>
      <c r="K922" s="1">
        <v>0</v>
      </c>
      <c r="L922" s="1">
        <v>0</v>
      </c>
      <c r="M922" s="1">
        <v>0</v>
      </c>
      <c r="N922" s="1">
        <v>23169.61</v>
      </c>
      <c r="O922" s="1">
        <v>23198.69</v>
      </c>
      <c r="P922" s="1">
        <v>5000</v>
      </c>
    </row>
    <row r="923" spans="1:16">
      <c r="A923" s="1" t="str">
        <f t="shared" si="350"/>
        <v>20170906</v>
      </c>
      <c r="B923" s="1"/>
      <c r="C923" s="1"/>
      <c r="D923" s="1" t="str">
        <f t="shared" si="349"/>
        <v>偿还融资负债本金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-4638.78</v>
      </c>
      <c r="O923" s="1">
        <v>18559.91</v>
      </c>
      <c r="P923" s="1">
        <v>0</v>
      </c>
    </row>
    <row r="924" spans="1:16">
      <c r="A924" s="1" t="str">
        <f t="shared" si="350"/>
        <v>20170906</v>
      </c>
      <c r="B924" s="1"/>
      <c r="C924" s="1"/>
      <c r="D924" s="1" t="str">
        <f t="shared" si="349"/>
        <v>偿还融资负债本金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-18468.42</v>
      </c>
      <c r="O924" s="1">
        <v>91.49</v>
      </c>
      <c r="P924" s="1">
        <v>0</v>
      </c>
    </row>
    <row r="925" spans="1:16">
      <c r="A925" s="1" t="str">
        <f t="shared" si="350"/>
        <v>20170906</v>
      </c>
      <c r="B925" s="1"/>
      <c r="C925" s="1"/>
      <c r="D925" s="1" t="str">
        <f>"偿还融资利息"</f>
        <v>偿还融资利息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-5.39</v>
      </c>
      <c r="O925" s="1">
        <v>86.1</v>
      </c>
      <c r="P925" s="1">
        <v>0</v>
      </c>
    </row>
    <row r="926" spans="1:16">
      <c r="A926" s="1" t="str">
        <f t="shared" ref="A926:A933" si="351">"20170907"</f>
        <v>20170907</v>
      </c>
      <c r="B926" s="1" t="str">
        <f>"002183"</f>
        <v>002183</v>
      </c>
      <c r="C926" s="1" t="str">
        <f>"怡 亚 通"</f>
        <v>怡 亚 通</v>
      </c>
      <c r="D926" s="1" t="str">
        <f>"融资买入"</f>
        <v>融资买入</v>
      </c>
      <c r="E926" s="1">
        <v>9.22</v>
      </c>
      <c r="F926" s="1">
        <v>2500</v>
      </c>
      <c r="G926" s="1">
        <v>23050</v>
      </c>
      <c r="H926" s="1">
        <v>11.53</v>
      </c>
      <c r="I926" s="1">
        <v>9.49</v>
      </c>
      <c r="J926" s="1">
        <v>0</v>
      </c>
      <c r="K926" s="1">
        <v>0</v>
      </c>
      <c r="L926" s="1">
        <v>0</v>
      </c>
      <c r="M926" s="1">
        <v>0</v>
      </c>
      <c r="N926" s="1">
        <v>-23061.53</v>
      </c>
      <c r="O926" s="1">
        <v>-22975.43</v>
      </c>
      <c r="P926" s="1">
        <v>7500</v>
      </c>
    </row>
    <row r="927" spans="1:16">
      <c r="A927" s="1" t="str">
        <f t="shared" si="351"/>
        <v>20170907</v>
      </c>
      <c r="B927" s="1" t="str">
        <f>"000768"</f>
        <v>000768</v>
      </c>
      <c r="C927" s="1" t="str">
        <f>"中航飞机"</f>
        <v>中航飞机</v>
      </c>
      <c r="D927" s="1" t="str">
        <f>"融资买入"</f>
        <v>融资买入</v>
      </c>
      <c r="E927" s="1">
        <v>19.1</v>
      </c>
      <c r="F927" s="1">
        <v>500</v>
      </c>
      <c r="G927" s="1">
        <v>9550</v>
      </c>
      <c r="H927" s="1">
        <v>5</v>
      </c>
      <c r="I927" s="1">
        <v>4.15</v>
      </c>
      <c r="J927" s="1">
        <v>0</v>
      </c>
      <c r="K927" s="1">
        <v>0</v>
      </c>
      <c r="L927" s="1">
        <v>0</v>
      </c>
      <c r="M927" s="1">
        <v>0</v>
      </c>
      <c r="N927" s="1">
        <v>-9555</v>
      </c>
      <c r="O927" s="1">
        <v>-32530.43</v>
      </c>
      <c r="P927" s="1">
        <v>500</v>
      </c>
    </row>
    <row r="928" spans="1:16">
      <c r="A928" s="1" t="str">
        <f t="shared" si="351"/>
        <v>20170907</v>
      </c>
      <c r="B928" s="1" t="str">
        <f>"002183"</f>
        <v>002183</v>
      </c>
      <c r="C928" s="1" t="str">
        <f>"怡 亚 通"</f>
        <v>怡 亚 通</v>
      </c>
      <c r="D928" s="1" t="str">
        <f>"担保品卖出"</f>
        <v>担保品卖出</v>
      </c>
      <c r="E928" s="1">
        <v>9.12</v>
      </c>
      <c r="F928" s="1">
        <v>2500</v>
      </c>
      <c r="G928" s="1">
        <v>22800</v>
      </c>
      <c r="H928" s="1">
        <v>7.07</v>
      </c>
      <c r="I928" s="1">
        <v>5.04</v>
      </c>
      <c r="J928" s="1">
        <v>22.8</v>
      </c>
      <c r="K928" s="1">
        <v>0</v>
      </c>
      <c r="L928" s="1">
        <v>0</v>
      </c>
      <c r="M928" s="1">
        <v>0</v>
      </c>
      <c r="N928" s="1">
        <v>22770.13</v>
      </c>
      <c r="O928" s="1">
        <v>-9760.3</v>
      </c>
      <c r="P928" s="1">
        <v>5000</v>
      </c>
    </row>
    <row r="929" spans="1:16">
      <c r="A929" s="1" t="str">
        <f t="shared" si="351"/>
        <v>20170907</v>
      </c>
      <c r="B929" s="1"/>
      <c r="C929" s="1"/>
      <c r="D929" s="1" t="str">
        <f>"融资借入"</f>
        <v>融资借入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23061.53</v>
      </c>
      <c r="O929" s="1">
        <v>13301.23</v>
      </c>
      <c r="P929" s="1">
        <v>0</v>
      </c>
    </row>
    <row r="930" spans="1:16">
      <c r="A930" s="1" t="str">
        <f t="shared" si="351"/>
        <v>20170907</v>
      </c>
      <c r="B930" s="1"/>
      <c r="C930" s="1"/>
      <c r="D930" s="1" t="str">
        <f>"融资借入"</f>
        <v>融资借入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9555</v>
      </c>
      <c r="O930" s="1">
        <v>22856.23</v>
      </c>
      <c r="P930" s="1">
        <v>0</v>
      </c>
    </row>
    <row r="931" spans="1:16">
      <c r="A931" s="1" t="str">
        <f t="shared" si="351"/>
        <v>20170907</v>
      </c>
      <c r="B931" s="1"/>
      <c r="C931" s="1"/>
      <c r="D931" s="1" t="str">
        <f>"偿还融资负债本金"</f>
        <v>偿还融资负债本金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-3480.7</v>
      </c>
      <c r="O931" s="1">
        <v>19375.53</v>
      </c>
      <c r="P931" s="1">
        <v>0</v>
      </c>
    </row>
    <row r="932" spans="1:16">
      <c r="A932" s="1" t="str">
        <f t="shared" si="351"/>
        <v>20170907</v>
      </c>
      <c r="B932" s="1"/>
      <c r="C932" s="1"/>
      <c r="D932" s="1" t="str">
        <f>"偿还融资负债本金"</f>
        <v>偿还融资负债本金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-19228.1</v>
      </c>
      <c r="O932" s="1">
        <v>147.43</v>
      </c>
      <c r="P932" s="1">
        <v>0</v>
      </c>
    </row>
    <row r="933" spans="1:16">
      <c r="A933" s="1" t="str">
        <f t="shared" si="351"/>
        <v>20170907</v>
      </c>
      <c r="B933" s="1"/>
      <c r="C933" s="1"/>
      <c r="D933" s="1" t="str">
        <f t="shared" ref="D933:D937" si="352">"偿还融资利息"</f>
        <v>偿还融资利息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-147.43</v>
      </c>
      <c r="O933" s="1">
        <v>0</v>
      </c>
      <c r="P933" s="1">
        <v>0</v>
      </c>
    </row>
    <row r="934" spans="1:16">
      <c r="A934" s="1" t="str">
        <f t="shared" ref="A934:A946" si="353">"20170913"</f>
        <v>20170913</v>
      </c>
      <c r="B934" s="1" t="str">
        <f>"002183"</f>
        <v>002183</v>
      </c>
      <c r="C934" s="1" t="str">
        <f>"怡 亚 通"</f>
        <v>怡 亚 通</v>
      </c>
      <c r="D934" s="1" t="str">
        <f>"担保品卖出"</f>
        <v>担保品卖出</v>
      </c>
      <c r="E934" s="1">
        <v>8.81</v>
      </c>
      <c r="F934" s="1">
        <v>5000</v>
      </c>
      <c r="G934" s="1">
        <v>44050</v>
      </c>
      <c r="H934" s="1">
        <v>13.66</v>
      </c>
      <c r="I934" s="1">
        <v>9.75</v>
      </c>
      <c r="J934" s="1">
        <v>44.05</v>
      </c>
      <c r="K934" s="1">
        <v>0</v>
      </c>
      <c r="L934" s="1">
        <v>0</v>
      </c>
      <c r="M934" s="1">
        <v>0</v>
      </c>
      <c r="N934" s="1">
        <v>43992.29</v>
      </c>
      <c r="O934" s="1">
        <v>43992.29</v>
      </c>
      <c r="P934" s="1">
        <v>0</v>
      </c>
    </row>
    <row r="935" spans="1:16">
      <c r="A935" s="1" t="str">
        <f t="shared" si="353"/>
        <v>20170913</v>
      </c>
      <c r="B935" s="1" t="str">
        <f>"000601"</f>
        <v>000601</v>
      </c>
      <c r="C935" s="1" t="str">
        <f>"韶能股份"</f>
        <v>韶能股份</v>
      </c>
      <c r="D935" s="1" t="str">
        <f>"担保品卖出"</f>
        <v>担保品卖出</v>
      </c>
      <c r="E935" s="1">
        <v>7.77</v>
      </c>
      <c r="F935" s="1">
        <v>1500</v>
      </c>
      <c r="G935" s="1">
        <v>11655</v>
      </c>
      <c r="H935" s="1">
        <v>5</v>
      </c>
      <c r="I935" s="1">
        <v>3.97</v>
      </c>
      <c r="J935" s="1">
        <v>11.66</v>
      </c>
      <c r="K935" s="1">
        <v>0</v>
      </c>
      <c r="L935" s="1">
        <v>0</v>
      </c>
      <c r="M935" s="1">
        <v>0</v>
      </c>
      <c r="N935" s="1">
        <v>11638.34</v>
      </c>
      <c r="O935" s="1">
        <v>55630.63</v>
      </c>
      <c r="P935" s="1">
        <v>6000</v>
      </c>
    </row>
    <row r="936" spans="1:16">
      <c r="A936" s="1" t="str">
        <f t="shared" si="353"/>
        <v>20170913</v>
      </c>
      <c r="B936" s="1"/>
      <c r="C936" s="1"/>
      <c r="D936" s="1" t="str">
        <f t="shared" si="352"/>
        <v>偿还融资利息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-148.6</v>
      </c>
      <c r="O936" s="1">
        <v>55482.03</v>
      </c>
      <c r="P936" s="1">
        <v>0</v>
      </c>
    </row>
    <row r="937" spans="1:16">
      <c r="A937" s="1" t="str">
        <f t="shared" si="353"/>
        <v>20170913</v>
      </c>
      <c r="B937" s="1"/>
      <c r="C937" s="1"/>
      <c r="D937" s="1" t="str">
        <f t="shared" si="352"/>
        <v>偿还融资利息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-276.42</v>
      </c>
      <c r="O937" s="1">
        <v>55205.61</v>
      </c>
      <c r="P937" s="1">
        <v>0</v>
      </c>
    </row>
    <row r="938" spans="1:16">
      <c r="A938" s="1" t="str">
        <f t="shared" si="353"/>
        <v>20170913</v>
      </c>
      <c r="B938" s="1"/>
      <c r="C938" s="1"/>
      <c r="D938" s="1" t="str">
        <f t="shared" ref="D938:D941" si="354">"偿还融资负债本金"</f>
        <v>偿还融资负债本金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-72.19</v>
      </c>
      <c r="O938" s="1">
        <v>55130.63</v>
      </c>
      <c r="P938" s="1">
        <v>0</v>
      </c>
    </row>
    <row r="939" spans="1:16">
      <c r="A939" s="1" t="str">
        <f t="shared" si="353"/>
        <v>20170913</v>
      </c>
      <c r="B939" s="1"/>
      <c r="C939" s="1"/>
      <c r="D939" s="1" t="str">
        <f t="shared" si="354"/>
        <v>偿还融资负债本金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-40.73</v>
      </c>
      <c r="O939" s="1">
        <v>55089.9</v>
      </c>
      <c r="P939" s="1">
        <v>0</v>
      </c>
    </row>
    <row r="940" spans="1:16">
      <c r="A940" s="1" t="str">
        <f t="shared" si="353"/>
        <v>20170913</v>
      </c>
      <c r="B940" s="1"/>
      <c r="C940" s="1"/>
      <c r="D940" s="1" t="str">
        <f t="shared" ref="D940:D943" si="355">"偿还融资利息"</f>
        <v>偿还融资利息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-2.79</v>
      </c>
      <c r="O940" s="1">
        <v>55202.82</v>
      </c>
      <c r="P940" s="1">
        <v>0</v>
      </c>
    </row>
    <row r="941" spans="1:16">
      <c r="A941" s="1" t="str">
        <f t="shared" si="353"/>
        <v>20170913</v>
      </c>
      <c r="B941" s="1"/>
      <c r="C941" s="1"/>
      <c r="D941" s="1" t="str">
        <f t="shared" si="354"/>
        <v>偿还融资负债本金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-6.67</v>
      </c>
      <c r="O941" s="1">
        <v>54975.63</v>
      </c>
      <c r="P941" s="1">
        <v>0</v>
      </c>
    </row>
    <row r="942" spans="1:16">
      <c r="A942" s="1" t="str">
        <f t="shared" si="353"/>
        <v>20170913</v>
      </c>
      <c r="B942" s="1"/>
      <c r="C942" s="1"/>
      <c r="D942" s="1" t="str">
        <f t="shared" si="355"/>
        <v>偿还融资利息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-72.27</v>
      </c>
      <c r="O942" s="1">
        <v>55017.63</v>
      </c>
      <c r="P942" s="1">
        <v>0</v>
      </c>
    </row>
    <row r="943" spans="1:16">
      <c r="A943" s="1" t="str">
        <f t="shared" si="353"/>
        <v>20170913</v>
      </c>
      <c r="B943" s="1"/>
      <c r="C943" s="1"/>
      <c r="D943" s="1" t="str">
        <f t="shared" si="355"/>
        <v>偿还融资利息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-35.33</v>
      </c>
      <c r="O943" s="1">
        <v>54982.3</v>
      </c>
      <c r="P943" s="1">
        <v>0</v>
      </c>
    </row>
    <row r="944" spans="1:16">
      <c r="A944" s="1" t="str">
        <f t="shared" si="353"/>
        <v>20170913</v>
      </c>
      <c r="B944" s="1"/>
      <c r="C944" s="1"/>
      <c r="D944" s="1" t="str">
        <f>"偿还融资负债本金"</f>
        <v>偿还融资负债本金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-1845.06</v>
      </c>
      <c r="O944" s="1">
        <v>53130.57</v>
      </c>
      <c r="P944" s="1">
        <v>0</v>
      </c>
    </row>
    <row r="945" spans="1:16">
      <c r="A945" s="1" t="str">
        <f t="shared" si="353"/>
        <v>20170913</v>
      </c>
      <c r="B945" s="1"/>
      <c r="C945" s="1"/>
      <c r="D945" s="1" t="str">
        <f>"偿还融资负债本金"</f>
        <v>偿还融资负债本金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-23061.53</v>
      </c>
      <c r="O945" s="1">
        <v>30069.04</v>
      </c>
      <c r="P945" s="1">
        <v>0</v>
      </c>
    </row>
    <row r="946" spans="1:16">
      <c r="A946" s="1" t="str">
        <f t="shared" si="353"/>
        <v>20170913</v>
      </c>
      <c r="B946" s="1"/>
      <c r="C946" s="1"/>
      <c r="D946" s="1" t="str">
        <f>"偿还融资利息"</f>
        <v>偿还融资利息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-32.1</v>
      </c>
      <c r="O946" s="1">
        <v>30036.94</v>
      </c>
      <c r="P946" s="1">
        <v>0</v>
      </c>
    </row>
    <row r="947" spans="1:16">
      <c r="A947" s="1" t="str">
        <f>"20170914"</f>
        <v>20170914</v>
      </c>
      <c r="B947" s="1" t="str">
        <f>"000601"</f>
        <v>000601</v>
      </c>
      <c r="C947" s="1" t="str">
        <f>"韶能股份"</f>
        <v>韶能股份</v>
      </c>
      <c r="D947" s="1" t="str">
        <f>"股息红利差异扣税"</f>
        <v>股息红利差异扣税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-30</v>
      </c>
      <c r="O947" s="1">
        <v>30006.94</v>
      </c>
      <c r="P947" s="1">
        <v>0</v>
      </c>
    </row>
    <row r="948" spans="1:16">
      <c r="A948" s="1" t="str">
        <f>"20170918"</f>
        <v>20170918</v>
      </c>
      <c r="B948" s="1" t="str">
        <f>"002023"</f>
        <v>002023</v>
      </c>
      <c r="C948" s="1" t="str">
        <f>"海特高新"</f>
        <v>海特高新</v>
      </c>
      <c r="D948" s="1" t="str">
        <f>"融资买入"</f>
        <v>融资买入</v>
      </c>
      <c r="E948" s="1">
        <v>10.6</v>
      </c>
      <c r="F948" s="1">
        <v>2000</v>
      </c>
      <c r="G948" s="1">
        <v>21200</v>
      </c>
      <c r="H948" s="1">
        <v>10.6</v>
      </c>
      <c r="I948" s="1">
        <v>8.73</v>
      </c>
      <c r="J948" s="1">
        <v>0</v>
      </c>
      <c r="K948" s="1">
        <v>0</v>
      </c>
      <c r="L948" s="1">
        <v>0</v>
      </c>
      <c r="M948" s="1">
        <v>0</v>
      </c>
      <c r="N948" s="1">
        <v>-21210.6</v>
      </c>
      <c r="O948" s="1">
        <v>8796.34</v>
      </c>
      <c r="P948" s="1">
        <v>2000</v>
      </c>
    </row>
    <row r="949" spans="1:16">
      <c r="A949" s="1" t="str">
        <f>"20170918"</f>
        <v>20170918</v>
      </c>
      <c r="B949" s="1"/>
      <c r="C949" s="1"/>
      <c r="D949" s="1" t="str">
        <f>"融资借入"</f>
        <v>融资借入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21210.6</v>
      </c>
      <c r="O949" s="1">
        <v>30006.94</v>
      </c>
      <c r="P949" s="1">
        <v>0</v>
      </c>
    </row>
    <row r="950" spans="1:16">
      <c r="A950" s="1" t="str">
        <f t="shared" ref="A950:A952" si="356">"20170919"</f>
        <v>20170919</v>
      </c>
      <c r="B950" s="1" t="str">
        <f>"000768"</f>
        <v>000768</v>
      </c>
      <c r="C950" s="1" t="str">
        <f>"中航飞机"</f>
        <v>中航飞机</v>
      </c>
      <c r="D950" s="1" t="str">
        <f>"融资买入"</f>
        <v>融资买入</v>
      </c>
      <c r="E950" s="1">
        <v>18.55</v>
      </c>
      <c r="F950" s="1">
        <v>500</v>
      </c>
      <c r="G950" s="1">
        <v>9275</v>
      </c>
      <c r="H950" s="1">
        <v>5</v>
      </c>
      <c r="I950" s="1">
        <v>4.17</v>
      </c>
      <c r="J950" s="1">
        <v>0</v>
      </c>
      <c r="K950" s="1">
        <v>0</v>
      </c>
      <c r="L950" s="1">
        <v>0</v>
      </c>
      <c r="M950" s="1">
        <v>0</v>
      </c>
      <c r="N950" s="1">
        <v>-9280</v>
      </c>
      <c r="O950" s="1">
        <v>20726.94</v>
      </c>
      <c r="P950" s="1">
        <v>1000</v>
      </c>
    </row>
    <row r="951" spans="1:16">
      <c r="A951" s="1" t="str">
        <f t="shared" si="356"/>
        <v>20170919</v>
      </c>
      <c r="B951" s="1"/>
      <c r="C951" s="1"/>
      <c r="D951" s="1" t="str">
        <f>"融资借入"</f>
        <v>融资借入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9280</v>
      </c>
      <c r="O951" s="1">
        <v>30006.94</v>
      </c>
      <c r="P951" s="1">
        <v>0</v>
      </c>
    </row>
    <row r="952" spans="1:16">
      <c r="A952" s="1" t="str">
        <f t="shared" si="356"/>
        <v>20170919</v>
      </c>
      <c r="B952" s="1"/>
      <c r="C952" s="1"/>
      <c r="D952" s="1" t="str">
        <f>"偿还融资利息"</f>
        <v>偿还融资利息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-6.94</v>
      </c>
      <c r="O952" s="1">
        <v>30000</v>
      </c>
      <c r="P952" s="1">
        <v>0</v>
      </c>
    </row>
    <row r="953" spans="1:16">
      <c r="A953" s="1" t="str">
        <f t="shared" ref="A953:A961" si="357">"20170920"</f>
        <v>20170920</v>
      </c>
      <c r="B953" s="1"/>
      <c r="C953" s="1"/>
      <c r="D953" s="1" t="str">
        <f>"利息归本"</f>
        <v>利息归本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2.23</v>
      </c>
      <c r="O953" s="1">
        <v>30002.23</v>
      </c>
      <c r="P953" s="1">
        <v>0</v>
      </c>
    </row>
    <row r="954" spans="1:16">
      <c r="A954" s="1" t="str">
        <f t="shared" si="357"/>
        <v>20170920</v>
      </c>
      <c r="B954" s="1" t="str">
        <f>"000768"</f>
        <v>000768</v>
      </c>
      <c r="C954" s="1" t="str">
        <f>"中航飞机"</f>
        <v>中航飞机</v>
      </c>
      <c r="D954" s="1" t="str">
        <f>"担保品卖出"</f>
        <v>担保品卖出</v>
      </c>
      <c r="E954" s="1">
        <v>18.95</v>
      </c>
      <c r="F954" s="1">
        <v>500</v>
      </c>
      <c r="G954" s="1">
        <v>9475</v>
      </c>
      <c r="H954" s="1">
        <v>5</v>
      </c>
      <c r="I954" s="1">
        <v>4.16</v>
      </c>
      <c r="J954" s="1">
        <v>9.48</v>
      </c>
      <c r="K954" s="1">
        <v>0</v>
      </c>
      <c r="L954" s="1">
        <v>0</v>
      </c>
      <c r="M954" s="1">
        <v>0</v>
      </c>
      <c r="N954" s="1">
        <v>9460.52</v>
      </c>
      <c r="O954" s="1">
        <v>39462.75</v>
      </c>
      <c r="P954" s="1">
        <v>500</v>
      </c>
    </row>
    <row r="955" spans="1:16">
      <c r="A955" s="1" t="str">
        <f t="shared" si="357"/>
        <v>20170920</v>
      </c>
      <c r="B955" s="1" t="str">
        <f>"002023"</f>
        <v>002023</v>
      </c>
      <c r="C955" s="1" t="str">
        <f>"海特高新"</f>
        <v>海特高新</v>
      </c>
      <c r="D955" s="1" t="str">
        <f>"担保品卖出"</f>
        <v>担保品卖出</v>
      </c>
      <c r="E955" s="1">
        <v>11.04</v>
      </c>
      <c r="F955" s="1">
        <v>2000</v>
      </c>
      <c r="G955" s="1">
        <v>22080</v>
      </c>
      <c r="H955" s="1">
        <v>6.84</v>
      </c>
      <c r="I955" s="1">
        <v>4.88</v>
      </c>
      <c r="J955" s="1">
        <v>22.08</v>
      </c>
      <c r="K955" s="1">
        <v>0</v>
      </c>
      <c r="L955" s="1">
        <v>0</v>
      </c>
      <c r="M955" s="1">
        <v>0</v>
      </c>
      <c r="N955" s="1">
        <v>22051.08</v>
      </c>
      <c r="O955" s="1">
        <v>61513.83</v>
      </c>
      <c r="P955" s="1">
        <v>0</v>
      </c>
    </row>
    <row r="956" spans="1:16">
      <c r="A956" s="1" t="str">
        <f t="shared" si="357"/>
        <v>20170920</v>
      </c>
      <c r="B956" s="1" t="str">
        <f>"600613"</f>
        <v>600613</v>
      </c>
      <c r="C956" s="1" t="str">
        <f>"神奇制药"</f>
        <v>神奇制药</v>
      </c>
      <c r="D956" s="1" t="str">
        <f>"担保品买入"</f>
        <v>担保品买入</v>
      </c>
      <c r="E956" s="1">
        <v>10.74</v>
      </c>
      <c r="F956" s="1">
        <v>1000</v>
      </c>
      <c r="G956" s="1">
        <v>10740</v>
      </c>
      <c r="H956" s="1">
        <v>5</v>
      </c>
      <c r="I956" s="1">
        <v>4.27</v>
      </c>
      <c r="J956" s="1">
        <v>0</v>
      </c>
      <c r="K956" s="1">
        <v>0.21</v>
      </c>
      <c r="L956" s="1">
        <v>0</v>
      </c>
      <c r="M956" s="1">
        <v>0</v>
      </c>
      <c r="N956" s="1">
        <v>-10745.21</v>
      </c>
      <c r="O956" s="1">
        <v>50768.62</v>
      </c>
      <c r="P956" s="1">
        <v>1000</v>
      </c>
    </row>
    <row r="957" spans="1:16">
      <c r="A957" s="1" t="str">
        <f t="shared" si="357"/>
        <v>20170920</v>
      </c>
      <c r="B957" s="1"/>
      <c r="C957" s="1"/>
      <c r="D957" s="1" t="str">
        <f t="shared" ref="D957:D960" si="358">"偿还融资负债本金"</f>
        <v>偿还融资负债本金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-750.36</v>
      </c>
      <c r="O957" s="1">
        <v>49987.54</v>
      </c>
      <c r="P957" s="1">
        <v>0</v>
      </c>
    </row>
    <row r="958" spans="1:16">
      <c r="A958" s="1" t="str">
        <f t="shared" si="357"/>
        <v>20170920</v>
      </c>
      <c r="B958" s="1"/>
      <c r="C958" s="1"/>
      <c r="D958" s="1" t="str">
        <f>"偿还融资利息"</f>
        <v>偿还融资利息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-30.72</v>
      </c>
      <c r="O958" s="1">
        <v>50737.9</v>
      </c>
      <c r="P958" s="1">
        <v>0</v>
      </c>
    </row>
    <row r="959" spans="1:16">
      <c r="A959" s="1" t="str">
        <f t="shared" si="357"/>
        <v>20170920</v>
      </c>
      <c r="B959" s="1"/>
      <c r="C959" s="1"/>
      <c r="D959" s="1" t="str">
        <f t="shared" si="358"/>
        <v>偿还融资负债本金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-9437.09</v>
      </c>
      <c r="O959" s="1">
        <v>40550.45</v>
      </c>
      <c r="P959" s="1">
        <v>0</v>
      </c>
    </row>
    <row r="960" spans="1:16">
      <c r="A960" s="1" t="str">
        <f t="shared" si="357"/>
        <v>20170920</v>
      </c>
      <c r="B960" s="1"/>
      <c r="C960" s="1"/>
      <c r="D960" s="1" t="str">
        <f t="shared" si="358"/>
        <v>偿还融资负债本金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-21210.6</v>
      </c>
      <c r="O960" s="1">
        <v>19339.85</v>
      </c>
      <c r="P960" s="1">
        <v>0</v>
      </c>
    </row>
    <row r="961" spans="1:16">
      <c r="A961" s="1" t="str">
        <f t="shared" si="357"/>
        <v>20170920</v>
      </c>
      <c r="B961" s="1"/>
      <c r="C961" s="1"/>
      <c r="D961" s="1" t="str">
        <f>"偿还融资利息"</f>
        <v>偿还融资利息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-9.84</v>
      </c>
      <c r="O961" s="1">
        <v>19330.01</v>
      </c>
      <c r="P961" s="1">
        <v>0</v>
      </c>
    </row>
    <row r="962" spans="1:16">
      <c r="A962" s="1" t="str">
        <f>"20170922"</f>
        <v>20170922</v>
      </c>
      <c r="B962" s="1" t="str">
        <f>"000768"</f>
        <v>000768</v>
      </c>
      <c r="C962" s="1" t="str">
        <f>"中航飞机"</f>
        <v>中航飞机</v>
      </c>
      <c r="D962" s="1" t="str">
        <f>"融资买入"</f>
        <v>融资买入</v>
      </c>
      <c r="E962" s="1">
        <v>18.44</v>
      </c>
      <c r="F962" s="1">
        <v>500</v>
      </c>
      <c r="G962" s="1">
        <v>9220</v>
      </c>
      <c r="H962" s="1">
        <v>5</v>
      </c>
      <c r="I962" s="1">
        <v>4.19</v>
      </c>
      <c r="J962" s="1">
        <v>0</v>
      </c>
      <c r="K962" s="1">
        <v>0</v>
      </c>
      <c r="L962" s="1">
        <v>0</v>
      </c>
      <c r="M962" s="1">
        <v>0</v>
      </c>
      <c r="N962" s="1">
        <v>-9225</v>
      </c>
      <c r="O962" s="1">
        <v>10105.01</v>
      </c>
      <c r="P962" s="1">
        <v>1000</v>
      </c>
    </row>
    <row r="963" spans="1:16">
      <c r="A963" s="1" t="str">
        <f>"20170922"</f>
        <v>20170922</v>
      </c>
      <c r="B963" s="1"/>
      <c r="C963" s="1"/>
      <c r="D963" s="1" t="str">
        <f>"融资借入"</f>
        <v>融资借入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9225</v>
      </c>
      <c r="O963" s="1">
        <v>19330.01</v>
      </c>
      <c r="P963" s="1">
        <v>0</v>
      </c>
    </row>
    <row r="964" spans="1:16">
      <c r="A964" s="1" t="str">
        <f t="shared" ref="A964:A967" si="359">"20170925"</f>
        <v>20170925</v>
      </c>
      <c r="B964" s="1" t="str">
        <f>"000768"</f>
        <v>000768</v>
      </c>
      <c r="C964" s="1" t="str">
        <f>"中航飞机"</f>
        <v>中航飞机</v>
      </c>
      <c r="D964" s="1" t="str">
        <f>"担保品卖出"</f>
        <v>担保品卖出</v>
      </c>
      <c r="E964" s="1">
        <v>18.71</v>
      </c>
      <c r="F964" s="1">
        <v>500</v>
      </c>
      <c r="G964" s="1">
        <v>9355</v>
      </c>
      <c r="H964" s="1">
        <v>5</v>
      </c>
      <c r="I964" s="1">
        <v>4.16</v>
      </c>
      <c r="J964" s="1">
        <v>9.36</v>
      </c>
      <c r="K964" s="1">
        <v>0</v>
      </c>
      <c r="L964" s="1">
        <v>0</v>
      </c>
      <c r="M964" s="1">
        <v>0</v>
      </c>
      <c r="N964" s="1">
        <v>9340.64</v>
      </c>
      <c r="O964" s="1">
        <v>28670.65</v>
      </c>
      <c r="P964" s="1">
        <v>500</v>
      </c>
    </row>
    <row r="965" spans="1:16">
      <c r="A965" s="1" t="str">
        <f t="shared" si="359"/>
        <v>20170925</v>
      </c>
      <c r="B965" s="1"/>
      <c r="C965" s="1"/>
      <c r="D965" s="1" t="str">
        <f>"偿还融资负债本金"</f>
        <v>偿还融资负债本金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-117.91</v>
      </c>
      <c r="O965" s="1">
        <v>28552.74</v>
      </c>
      <c r="P965" s="1">
        <v>0</v>
      </c>
    </row>
    <row r="966" spans="1:16">
      <c r="A966" s="1" t="str">
        <f t="shared" si="359"/>
        <v>20170925</v>
      </c>
      <c r="B966" s="1"/>
      <c r="C966" s="1"/>
      <c r="D966" s="1" t="str">
        <f>"偿还融资负债本金"</f>
        <v>偿还融资负债本金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-9199.66</v>
      </c>
      <c r="O966" s="1">
        <v>19353.08</v>
      </c>
      <c r="P966" s="1">
        <v>0</v>
      </c>
    </row>
    <row r="967" spans="1:16">
      <c r="A967" s="1" t="str">
        <f t="shared" si="359"/>
        <v>20170925</v>
      </c>
      <c r="B967" s="1"/>
      <c r="C967" s="1"/>
      <c r="D967" s="1" t="str">
        <f>"偿还融资利息"</f>
        <v>偿还融资利息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-28.98</v>
      </c>
      <c r="O967" s="1">
        <v>19324.1</v>
      </c>
      <c r="P967" s="1">
        <v>0</v>
      </c>
    </row>
    <row r="968" spans="1:16">
      <c r="A968" s="1" t="str">
        <f>"20170926"</f>
        <v>20170926</v>
      </c>
      <c r="B968" s="1" t="str">
        <f>"600613"</f>
        <v>600613</v>
      </c>
      <c r="C968" s="1" t="str">
        <f>"神奇制药"</f>
        <v>神奇制药</v>
      </c>
      <c r="D968" s="1" t="str">
        <f>"担保品卖出"</f>
        <v>担保品卖出</v>
      </c>
      <c r="E968" s="1">
        <v>10.35</v>
      </c>
      <c r="F968" s="1">
        <v>1000</v>
      </c>
      <c r="G968" s="1">
        <v>10350</v>
      </c>
      <c r="H968" s="1">
        <v>5</v>
      </c>
      <c r="I968" s="1">
        <v>4.29</v>
      </c>
      <c r="J968" s="1">
        <v>10.35</v>
      </c>
      <c r="K968" s="1">
        <v>0.21</v>
      </c>
      <c r="L968" s="1">
        <v>0</v>
      </c>
      <c r="M968" s="1">
        <v>0</v>
      </c>
      <c r="N968" s="1">
        <v>10334.44</v>
      </c>
      <c r="O968" s="1">
        <v>29658.54</v>
      </c>
      <c r="P968" s="1">
        <v>0</v>
      </c>
    </row>
    <row r="969" spans="1:16">
      <c r="A969" s="1" t="str">
        <f t="shared" ref="A969:A971" si="360">"20170927"</f>
        <v>20170927</v>
      </c>
      <c r="B969" s="1" t="str">
        <f t="shared" ref="B969:B974" si="361">"002183"</f>
        <v>002183</v>
      </c>
      <c r="C969" s="1" t="str">
        <f t="shared" ref="C969:C974" si="362">"怡 亚 通"</f>
        <v>怡 亚 通</v>
      </c>
      <c r="D969" s="1" t="str">
        <f>"融资买入"</f>
        <v>融资买入</v>
      </c>
      <c r="E969" s="1">
        <v>8.55</v>
      </c>
      <c r="F969" s="1">
        <v>2500</v>
      </c>
      <c r="G969" s="1">
        <v>21375</v>
      </c>
      <c r="H969" s="1">
        <v>10.69</v>
      </c>
      <c r="I969" s="1">
        <v>8.8</v>
      </c>
      <c r="J969" s="1">
        <v>0</v>
      </c>
      <c r="K969" s="1">
        <v>0</v>
      </c>
      <c r="L969" s="1">
        <v>0</v>
      </c>
      <c r="M969" s="1">
        <v>0</v>
      </c>
      <c r="N969" s="1">
        <v>-21385.69</v>
      </c>
      <c r="O969" s="1">
        <v>8272.85</v>
      </c>
      <c r="P969" s="1">
        <v>2500</v>
      </c>
    </row>
    <row r="970" spans="1:16">
      <c r="A970" s="1" t="str">
        <f t="shared" si="360"/>
        <v>20170927</v>
      </c>
      <c r="B970" s="1" t="str">
        <f>"000601"</f>
        <v>000601</v>
      </c>
      <c r="C970" s="1" t="str">
        <f>"韶能股份"</f>
        <v>韶能股份</v>
      </c>
      <c r="D970" s="1" t="str">
        <f>"担保品买入"</f>
        <v>担保品买入</v>
      </c>
      <c r="E970" s="1">
        <v>7.41</v>
      </c>
      <c r="F970" s="1">
        <v>3000</v>
      </c>
      <c r="G970" s="1">
        <v>22230</v>
      </c>
      <c r="H970" s="1">
        <v>6.89</v>
      </c>
      <c r="I970" s="1">
        <v>4.93</v>
      </c>
      <c r="J970" s="1">
        <v>0</v>
      </c>
      <c r="K970" s="1">
        <v>0</v>
      </c>
      <c r="L970" s="1">
        <v>0</v>
      </c>
      <c r="M970" s="1">
        <v>0</v>
      </c>
      <c r="N970" s="1">
        <v>-22236.89</v>
      </c>
      <c r="O970" s="1">
        <v>-13964.04</v>
      </c>
      <c r="P970" s="1">
        <v>9000</v>
      </c>
    </row>
    <row r="971" spans="1:16">
      <c r="A971" s="1" t="str">
        <f t="shared" si="360"/>
        <v>20170927</v>
      </c>
      <c r="B971" s="1"/>
      <c r="C971" s="1"/>
      <c r="D971" s="1" t="str">
        <f t="shared" ref="D971:D976" si="363">"融资借入"</f>
        <v>融资借入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21385.69</v>
      </c>
      <c r="O971" s="1">
        <v>7421.65</v>
      </c>
      <c r="P971" s="1">
        <v>0</v>
      </c>
    </row>
    <row r="972" spans="1:16">
      <c r="A972" s="1" t="str">
        <f>"20170929"</f>
        <v>20170929</v>
      </c>
      <c r="B972" s="1" t="str">
        <f t="shared" si="361"/>
        <v>002183</v>
      </c>
      <c r="C972" s="1" t="str">
        <f t="shared" si="362"/>
        <v>怡 亚 通</v>
      </c>
      <c r="D972" s="1" t="str">
        <f>"融资买入"</f>
        <v>融资买入</v>
      </c>
      <c r="E972" s="1">
        <v>8.45</v>
      </c>
      <c r="F972" s="1">
        <v>2500</v>
      </c>
      <c r="G972" s="1">
        <v>21125</v>
      </c>
      <c r="H972" s="1">
        <v>10.56</v>
      </c>
      <c r="I972" s="1">
        <v>8.7</v>
      </c>
      <c r="J972" s="1">
        <v>0</v>
      </c>
      <c r="K972" s="1">
        <v>0</v>
      </c>
      <c r="L972" s="1">
        <v>0</v>
      </c>
      <c r="M972" s="1">
        <v>0</v>
      </c>
      <c r="N972" s="1">
        <v>-21135.56</v>
      </c>
      <c r="O972" s="1">
        <v>-13713.91</v>
      </c>
      <c r="P972" s="1">
        <v>5000</v>
      </c>
    </row>
    <row r="973" spans="1:16">
      <c r="A973" s="1" t="str">
        <f>"20170929"</f>
        <v>20170929</v>
      </c>
      <c r="B973" s="1"/>
      <c r="C973" s="1"/>
      <c r="D973" s="1" t="str">
        <f t="shared" si="363"/>
        <v>融资借入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21135.56</v>
      </c>
      <c r="O973" s="1">
        <v>7421.65</v>
      </c>
      <c r="P973" s="1">
        <v>0</v>
      </c>
    </row>
    <row r="974" spans="1:16">
      <c r="A974" s="1" t="str">
        <f t="shared" ref="A974:A979" si="364">"20171009"</f>
        <v>20171009</v>
      </c>
      <c r="B974" s="1" t="str">
        <f t="shared" si="361"/>
        <v>002183</v>
      </c>
      <c r="C974" s="1" t="str">
        <f t="shared" si="362"/>
        <v>怡 亚 通</v>
      </c>
      <c r="D974" s="1" t="str">
        <f>"担保品卖出"</f>
        <v>担保品卖出</v>
      </c>
      <c r="E974" s="1">
        <v>8.66</v>
      </c>
      <c r="F974" s="1">
        <v>2500</v>
      </c>
      <c r="G974" s="1">
        <v>21650</v>
      </c>
      <c r="H974" s="1">
        <v>6.71</v>
      </c>
      <c r="I974" s="1">
        <v>4.8</v>
      </c>
      <c r="J974" s="1">
        <v>21.65</v>
      </c>
      <c r="K974" s="1">
        <v>0</v>
      </c>
      <c r="L974" s="1">
        <v>0</v>
      </c>
      <c r="M974" s="1">
        <v>0</v>
      </c>
      <c r="N974" s="1">
        <v>21621.64</v>
      </c>
      <c r="O974" s="1">
        <v>29043.29</v>
      </c>
      <c r="P974" s="1">
        <v>2500</v>
      </c>
    </row>
    <row r="975" spans="1:16">
      <c r="A975" s="1" t="str">
        <f t="shared" si="364"/>
        <v>20171009</v>
      </c>
      <c r="B975" s="1" t="str">
        <f>"000768"</f>
        <v>000768</v>
      </c>
      <c r="C975" s="1" t="str">
        <f>"中航飞机"</f>
        <v>中航飞机</v>
      </c>
      <c r="D975" s="1" t="str">
        <f>"融资买入"</f>
        <v>融资买入</v>
      </c>
      <c r="E975" s="1">
        <v>19.11</v>
      </c>
      <c r="F975" s="1">
        <v>500</v>
      </c>
      <c r="G975" s="1">
        <v>9555</v>
      </c>
      <c r="H975" s="1">
        <v>5</v>
      </c>
      <c r="I975" s="1">
        <v>4.15</v>
      </c>
      <c r="J975" s="1">
        <v>0</v>
      </c>
      <c r="K975" s="1">
        <v>0</v>
      </c>
      <c r="L975" s="1">
        <v>0</v>
      </c>
      <c r="M975" s="1">
        <v>0</v>
      </c>
      <c r="N975" s="1">
        <v>-9560</v>
      </c>
      <c r="O975" s="1">
        <v>19483.29</v>
      </c>
      <c r="P975" s="1">
        <v>1000</v>
      </c>
    </row>
    <row r="976" spans="1:16">
      <c r="A976" s="1" t="str">
        <f t="shared" si="364"/>
        <v>20171009</v>
      </c>
      <c r="B976" s="1"/>
      <c r="C976" s="1"/>
      <c r="D976" s="1" t="str">
        <f t="shared" si="363"/>
        <v>融资借入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9560</v>
      </c>
      <c r="O976" s="1">
        <v>29043.29</v>
      </c>
      <c r="P976" s="1">
        <v>0</v>
      </c>
    </row>
    <row r="977" spans="1:16">
      <c r="A977" s="1" t="str">
        <f t="shared" si="364"/>
        <v>20171009</v>
      </c>
      <c r="B977" s="1"/>
      <c r="C977" s="1"/>
      <c r="D977" s="1" t="str">
        <f>"偿还融资负债本金"</f>
        <v>偿还融资负债本金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-21385.69</v>
      </c>
      <c r="O977" s="1">
        <v>7657.6</v>
      </c>
      <c r="P977" s="1">
        <v>0</v>
      </c>
    </row>
    <row r="978" spans="1:16">
      <c r="A978" s="1" t="str">
        <f t="shared" si="364"/>
        <v>20171009</v>
      </c>
      <c r="B978" s="1"/>
      <c r="C978" s="1"/>
      <c r="D978" s="1" t="str">
        <f>"偿还融资负债本金"</f>
        <v>偿还融资负债本金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-177.71</v>
      </c>
      <c r="O978" s="1">
        <v>7479.89</v>
      </c>
      <c r="P978" s="1">
        <v>0</v>
      </c>
    </row>
    <row r="979" spans="1:16">
      <c r="A979" s="1" t="str">
        <f t="shared" si="364"/>
        <v>20171009</v>
      </c>
      <c r="B979" s="1"/>
      <c r="C979" s="1"/>
      <c r="D979" s="1" t="str">
        <f>"偿还融资利息"</f>
        <v>偿还融资利息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-59.52</v>
      </c>
      <c r="O979" s="1">
        <v>7420.37</v>
      </c>
      <c r="P979" s="1">
        <v>0</v>
      </c>
    </row>
    <row r="980" spans="1:16">
      <c r="A980" s="1" t="str">
        <f t="shared" ref="A980:A990" si="365">"20171012"</f>
        <v>20171012</v>
      </c>
      <c r="B980" s="1" t="str">
        <f>"002023"</f>
        <v>002023</v>
      </c>
      <c r="C980" s="1" t="str">
        <f>"海特高新"</f>
        <v>海特高新</v>
      </c>
      <c r="D980" s="1" t="str">
        <f>"融资买入"</f>
        <v>融资买入</v>
      </c>
      <c r="E980" s="1">
        <v>12.16</v>
      </c>
      <c r="F980" s="1">
        <v>2000</v>
      </c>
      <c r="G980" s="1">
        <v>24320</v>
      </c>
      <c r="H980" s="1">
        <v>12.16</v>
      </c>
      <c r="I980" s="1">
        <v>10</v>
      </c>
      <c r="J980" s="1">
        <v>0</v>
      </c>
      <c r="K980" s="1">
        <v>0</v>
      </c>
      <c r="L980" s="1">
        <v>0</v>
      </c>
      <c r="M980" s="1">
        <v>0</v>
      </c>
      <c r="N980" s="1">
        <v>-24332.16</v>
      </c>
      <c r="O980" s="1">
        <v>-16911.79</v>
      </c>
      <c r="P980" s="1">
        <v>2000</v>
      </c>
    </row>
    <row r="981" spans="1:16">
      <c r="A981" s="1" t="str">
        <f t="shared" si="365"/>
        <v>20171012</v>
      </c>
      <c r="B981" s="1" t="str">
        <f>"000768"</f>
        <v>000768</v>
      </c>
      <c r="C981" s="1" t="str">
        <f>"中航飞机"</f>
        <v>中航飞机</v>
      </c>
      <c r="D981" s="1" t="str">
        <f>"担保品卖出"</f>
        <v>担保品卖出</v>
      </c>
      <c r="E981" s="1">
        <v>20.09</v>
      </c>
      <c r="F981" s="1">
        <v>1000</v>
      </c>
      <c r="G981" s="1">
        <v>20090</v>
      </c>
      <c r="H981" s="1">
        <v>6.23</v>
      </c>
      <c r="I981" s="1">
        <v>4.45</v>
      </c>
      <c r="J981" s="1">
        <v>20.09</v>
      </c>
      <c r="K981" s="1">
        <v>0</v>
      </c>
      <c r="L981" s="1">
        <v>0</v>
      </c>
      <c r="M981" s="1">
        <v>0</v>
      </c>
      <c r="N981" s="1">
        <v>20063.68</v>
      </c>
      <c r="O981" s="1">
        <v>3151.89</v>
      </c>
      <c r="P981" s="1">
        <v>0</v>
      </c>
    </row>
    <row r="982" spans="1:16">
      <c r="A982" s="1" t="str">
        <f t="shared" si="365"/>
        <v>20171012</v>
      </c>
      <c r="B982" s="1" t="str">
        <f>"000543"</f>
        <v>000543</v>
      </c>
      <c r="C982" s="1" t="str">
        <f>"皖能电力"</f>
        <v>皖能电力</v>
      </c>
      <c r="D982" s="1" t="str">
        <f>"融资买入"</f>
        <v>融资买入</v>
      </c>
      <c r="E982" s="1">
        <v>5.69</v>
      </c>
      <c r="F982" s="1">
        <v>3000</v>
      </c>
      <c r="G982" s="1">
        <v>17070</v>
      </c>
      <c r="H982" s="1">
        <v>8.54</v>
      </c>
      <c r="I982" s="1">
        <v>7.03</v>
      </c>
      <c r="J982" s="1">
        <v>0</v>
      </c>
      <c r="K982" s="1">
        <v>0</v>
      </c>
      <c r="L982" s="1">
        <v>0</v>
      </c>
      <c r="M982" s="1">
        <v>0</v>
      </c>
      <c r="N982" s="1">
        <v>-17078.54</v>
      </c>
      <c r="O982" s="1">
        <v>-13926.65</v>
      </c>
      <c r="P982" s="1">
        <v>3000</v>
      </c>
    </row>
    <row r="983" spans="1:16">
      <c r="A983" s="1" t="str">
        <f t="shared" si="365"/>
        <v>20171012</v>
      </c>
      <c r="B983" s="1"/>
      <c r="C983" s="1"/>
      <c r="D983" s="1" t="str">
        <f>"融资借入"</f>
        <v>融资借入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24332.16</v>
      </c>
      <c r="O983" s="1">
        <v>10405.51</v>
      </c>
      <c r="P983" s="1">
        <v>0</v>
      </c>
    </row>
    <row r="984" spans="1:16">
      <c r="A984" s="1" t="str">
        <f t="shared" si="365"/>
        <v>20171012</v>
      </c>
      <c r="B984" s="1"/>
      <c r="C984" s="1"/>
      <c r="D984" s="1" t="str">
        <f>"融资借入"</f>
        <v>融资借入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17078.54</v>
      </c>
      <c r="O984" s="1">
        <v>27484.05</v>
      </c>
      <c r="P984" s="1">
        <v>0</v>
      </c>
    </row>
    <row r="985" spans="1:16">
      <c r="A985" s="1" t="str">
        <f t="shared" si="365"/>
        <v>20171012</v>
      </c>
      <c r="B985" s="1"/>
      <c r="C985" s="1"/>
      <c r="D985" s="1" t="str">
        <f t="shared" ref="D985:D987" si="366">"偿还融资负债本金"</f>
        <v>偿还融资负债本金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-80.34</v>
      </c>
      <c r="O985" s="1">
        <v>27403.71</v>
      </c>
      <c r="P985" s="1">
        <v>0</v>
      </c>
    </row>
    <row r="986" spans="1:16">
      <c r="A986" s="1" t="str">
        <f t="shared" si="365"/>
        <v>20171012</v>
      </c>
      <c r="B986" s="1"/>
      <c r="C986" s="1"/>
      <c r="D986" s="1" t="str">
        <f t="shared" si="366"/>
        <v>偿还融资负债本金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-9225</v>
      </c>
      <c r="O986" s="1">
        <v>18178.71</v>
      </c>
      <c r="P986" s="1">
        <v>0</v>
      </c>
    </row>
    <row r="987" spans="1:16">
      <c r="A987" s="1" t="str">
        <f t="shared" si="365"/>
        <v>20171012</v>
      </c>
      <c r="B987" s="1"/>
      <c r="C987" s="1"/>
      <c r="D987" s="1" t="str">
        <f t="shared" si="366"/>
        <v>偿还融资负债本金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-9560</v>
      </c>
      <c r="O987" s="1">
        <v>8618.71</v>
      </c>
      <c r="P987" s="1">
        <v>0</v>
      </c>
    </row>
    <row r="988" spans="1:16">
      <c r="A988" s="1" t="str">
        <f t="shared" si="365"/>
        <v>20171012</v>
      </c>
      <c r="B988" s="1"/>
      <c r="C988" s="1"/>
      <c r="D988" s="1" t="str">
        <f t="shared" ref="D988:D990" si="367">"偿还融资利息"</f>
        <v>偿还融资利息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-13.23</v>
      </c>
      <c r="O988" s="1">
        <v>8605.48</v>
      </c>
      <c r="P988" s="1">
        <v>0</v>
      </c>
    </row>
    <row r="989" spans="1:16">
      <c r="A989" s="1" t="str">
        <f t="shared" si="365"/>
        <v>20171012</v>
      </c>
      <c r="B989" s="1"/>
      <c r="C989" s="1"/>
      <c r="D989" s="1" t="str">
        <f t="shared" si="367"/>
        <v>偿还融资利息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-42.8</v>
      </c>
      <c r="O989" s="1">
        <v>8562.68</v>
      </c>
      <c r="P989" s="1">
        <v>0</v>
      </c>
    </row>
    <row r="990" spans="1:16">
      <c r="A990" s="1" t="str">
        <f t="shared" si="365"/>
        <v>20171012</v>
      </c>
      <c r="B990" s="1"/>
      <c r="C990" s="1"/>
      <c r="D990" s="1" t="str">
        <f t="shared" si="367"/>
        <v>偿还融资利息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-6.66</v>
      </c>
      <c r="O990" s="1">
        <v>8556.02</v>
      </c>
      <c r="P990" s="1">
        <v>0</v>
      </c>
    </row>
    <row r="991" spans="1:16">
      <c r="A991" s="1" t="str">
        <f>"20171013"</f>
        <v>20171013</v>
      </c>
      <c r="B991" s="1" t="str">
        <f>"002183"</f>
        <v>002183</v>
      </c>
      <c r="C991" s="1" t="str">
        <f>"怡 亚 通"</f>
        <v>怡 亚 通</v>
      </c>
      <c r="D991" s="1" t="str">
        <f>"融资买入"</f>
        <v>融资买入</v>
      </c>
      <c r="E991" s="1">
        <v>9.02</v>
      </c>
      <c r="F991" s="1">
        <v>2500</v>
      </c>
      <c r="G991" s="1">
        <v>22550</v>
      </c>
      <c r="H991" s="1">
        <v>11.28</v>
      </c>
      <c r="I991" s="1">
        <v>9.28</v>
      </c>
      <c r="J991" s="1">
        <v>0</v>
      </c>
      <c r="K991" s="1">
        <v>0</v>
      </c>
      <c r="L991" s="1">
        <v>0</v>
      </c>
      <c r="M991" s="1">
        <v>0</v>
      </c>
      <c r="N991" s="1">
        <v>-22561.28</v>
      </c>
      <c r="O991" s="1">
        <v>-14005.26</v>
      </c>
      <c r="P991" s="1">
        <v>5000</v>
      </c>
    </row>
    <row r="992" spans="1:16">
      <c r="A992" s="1" t="str">
        <f>"20171013"</f>
        <v>20171013</v>
      </c>
      <c r="B992" s="1"/>
      <c r="C992" s="1"/>
      <c r="D992" s="1" t="str">
        <f>"融资借入"</f>
        <v>融资借入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22561.28</v>
      </c>
      <c r="O992" s="1">
        <v>8556.02</v>
      </c>
      <c r="P992" s="1">
        <v>0</v>
      </c>
    </row>
    <row r="993" spans="1:16">
      <c r="A993" s="1" t="str">
        <f t="shared" ref="A993:A997" si="368">"20171020"</f>
        <v>20171020</v>
      </c>
      <c r="B993" s="1"/>
      <c r="C993" s="1"/>
      <c r="D993" s="1" t="str">
        <f t="shared" ref="D993:D997" si="369">"偿还融资利息"</f>
        <v>偿还融资利息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-161.45</v>
      </c>
      <c r="O993" s="1">
        <v>8394.57</v>
      </c>
      <c r="P993" s="1">
        <v>0</v>
      </c>
    </row>
    <row r="994" spans="1:16">
      <c r="A994" s="1" t="str">
        <f t="shared" si="368"/>
        <v>20171020</v>
      </c>
      <c r="B994" s="1"/>
      <c r="C994" s="1"/>
      <c r="D994" s="1" t="str">
        <f t="shared" si="369"/>
        <v>偿还融资利息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-107.34</v>
      </c>
      <c r="O994" s="1">
        <v>8287.23</v>
      </c>
      <c r="P994" s="1">
        <v>0</v>
      </c>
    </row>
    <row r="995" spans="1:16">
      <c r="A995" s="1" t="str">
        <f t="shared" si="368"/>
        <v>20171020</v>
      </c>
      <c r="B995" s="1"/>
      <c r="C995" s="1"/>
      <c r="D995" s="1" t="str">
        <f t="shared" si="369"/>
        <v>偿还融资利息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-50.77</v>
      </c>
      <c r="O995" s="1">
        <v>8236.46</v>
      </c>
      <c r="P995" s="1">
        <v>0</v>
      </c>
    </row>
    <row r="996" spans="1:16">
      <c r="A996" s="1" t="str">
        <f t="shared" si="368"/>
        <v>20171020</v>
      </c>
      <c r="B996" s="1"/>
      <c r="C996" s="1"/>
      <c r="D996" s="1" t="str">
        <f t="shared" si="369"/>
        <v>偿还融资利息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-35.64</v>
      </c>
      <c r="O996" s="1">
        <v>8200.82</v>
      </c>
      <c r="P996" s="1">
        <v>0</v>
      </c>
    </row>
    <row r="997" spans="1:16">
      <c r="A997" s="1" t="str">
        <f t="shared" si="368"/>
        <v>20171020</v>
      </c>
      <c r="B997" s="1"/>
      <c r="C997" s="1"/>
      <c r="D997" s="1" t="str">
        <f t="shared" si="369"/>
        <v>偿还融资利息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-41.85</v>
      </c>
      <c r="O997" s="1">
        <v>8158.97</v>
      </c>
      <c r="P997" s="1">
        <v>0</v>
      </c>
    </row>
    <row r="998" spans="1:16">
      <c r="A998" s="1" t="str">
        <f t="shared" ref="A998:A1001" si="370">"20171023"</f>
        <v>20171023</v>
      </c>
      <c r="B998" s="1" t="str">
        <f>"002183"</f>
        <v>002183</v>
      </c>
      <c r="C998" s="1" t="str">
        <f>"怡 亚 通"</f>
        <v>怡 亚 通</v>
      </c>
      <c r="D998" s="1" t="str">
        <f>"担保品卖出"</f>
        <v>担保品卖出</v>
      </c>
      <c r="E998" s="1">
        <v>9.55</v>
      </c>
      <c r="F998" s="1">
        <v>2500</v>
      </c>
      <c r="G998" s="1">
        <v>23875</v>
      </c>
      <c r="H998" s="1">
        <v>7.4</v>
      </c>
      <c r="I998" s="1">
        <v>5.28</v>
      </c>
      <c r="J998" s="1">
        <v>23.88</v>
      </c>
      <c r="K998" s="1">
        <v>0</v>
      </c>
      <c r="L998" s="1">
        <v>0</v>
      </c>
      <c r="M998" s="1">
        <v>0</v>
      </c>
      <c r="N998" s="1">
        <v>23843.72</v>
      </c>
      <c r="O998" s="1">
        <v>32002.69</v>
      </c>
      <c r="P998" s="1">
        <v>2500</v>
      </c>
    </row>
    <row r="999" spans="1:16">
      <c r="A999" s="1" t="str">
        <f t="shared" si="370"/>
        <v>20171023</v>
      </c>
      <c r="B999" s="1"/>
      <c r="C999" s="1"/>
      <c r="D999" s="1" t="str">
        <f>"偿还融资负债本金"</f>
        <v>偿还融资负债本金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-20957.85</v>
      </c>
      <c r="O999" s="1">
        <v>11044.84</v>
      </c>
      <c r="P999" s="1">
        <v>0</v>
      </c>
    </row>
    <row r="1000" spans="1:16">
      <c r="A1000" s="1" t="str">
        <f t="shared" si="370"/>
        <v>20171023</v>
      </c>
      <c r="B1000" s="1"/>
      <c r="C1000" s="1"/>
      <c r="D1000" s="1" t="str">
        <f>"偿还融资负债本金"</f>
        <v>偿还融资负债本金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-2821.64</v>
      </c>
      <c r="O1000" s="1">
        <v>8223.2</v>
      </c>
      <c r="P1000" s="1">
        <v>0</v>
      </c>
    </row>
    <row r="1001" spans="1:16">
      <c r="A1001" s="1" t="str">
        <f t="shared" si="370"/>
        <v>20171023</v>
      </c>
      <c r="B1001" s="1"/>
      <c r="C1001" s="1"/>
      <c r="D1001" s="1" t="str">
        <f>"偿还融资利息"</f>
        <v>偿还融资利息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-9.72</v>
      </c>
      <c r="O1001" s="1">
        <v>8213.48</v>
      </c>
      <c r="P1001" s="1">
        <v>0</v>
      </c>
    </row>
    <row r="1002" spans="1:16">
      <c r="A1002" s="1" t="str">
        <f>"20171024"</f>
        <v>20171024</v>
      </c>
      <c r="B1002" s="1" t="str">
        <f>"002183"</f>
        <v>002183</v>
      </c>
      <c r="C1002" s="1" t="str">
        <f>"怡 亚 通"</f>
        <v>怡 亚 通</v>
      </c>
      <c r="D1002" s="1" t="str">
        <f>"融资买入"</f>
        <v>融资买入</v>
      </c>
      <c r="E1002" s="1">
        <v>9.13</v>
      </c>
      <c r="F1002" s="1">
        <v>2500</v>
      </c>
      <c r="G1002" s="1">
        <v>22825</v>
      </c>
      <c r="H1002" s="1">
        <v>11.41</v>
      </c>
      <c r="I1002" s="1">
        <v>9.38</v>
      </c>
      <c r="J1002" s="1">
        <v>0</v>
      </c>
      <c r="K1002" s="1">
        <v>0</v>
      </c>
      <c r="L1002" s="1">
        <v>0</v>
      </c>
      <c r="M1002" s="1">
        <v>0</v>
      </c>
      <c r="N1002" s="1">
        <v>-22836.41</v>
      </c>
      <c r="O1002" s="1">
        <v>-14622.93</v>
      </c>
      <c r="P1002" s="1">
        <v>5000</v>
      </c>
    </row>
    <row r="1003" spans="1:16">
      <c r="A1003" s="1" t="str">
        <f>"20171024"</f>
        <v>20171024</v>
      </c>
      <c r="B1003" s="1"/>
      <c r="C1003" s="1"/>
      <c r="D1003" s="1" t="str">
        <f>"融资借入"</f>
        <v>融资借入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22836.41</v>
      </c>
      <c r="O1003" s="1">
        <v>8213.48</v>
      </c>
      <c r="P1003" s="1">
        <v>0</v>
      </c>
    </row>
    <row r="1004" spans="1:16">
      <c r="A1004" s="1" t="str">
        <f>"20171026"</f>
        <v>20171026</v>
      </c>
      <c r="B1004" s="1" t="str">
        <f t="shared" ref="B1004:B1006" si="371">"000601"</f>
        <v>000601</v>
      </c>
      <c r="C1004" s="1" t="str">
        <f t="shared" ref="C1004:C1006" si="372">"韶能股份"</f>
        <v>韶能股份</v>
      </c>
      <c r="D1004" s="1" t="str">
        <f t="shared" ref="D1004:D1007" si="373">"担保品卖出"</f>
        <v>担保品卖出</v>
      </c>
      <c r="E1004" s="1">
        <v>7.75</v>
      </c>
      <c r="F1004" s="1">
        <v>3000</v>
      </c>
      <c r="G1004" s="1">
        <v>23250</v>
      </c>
      <c r="H1004" s="1">
        <v>7.21</v>
      </c>
      <c r="I1004" s="1">
        <v>5.14</v>
      </c>
      <c r="J1004" s="1">
        <v>23.25</v>
      </c>
      <c r="K1004" s="1">
        <v>0</v>
      </c>
      <c r="L1004" s="1">
        <v>0</v>
      </c>
      <c r="M1004" s="1">
        <v>0</v>
      </c>
      <c r="N1004" s="1">
        <v>23219.54</v>
      </c>
      <c r="O1004" s="1">
        <v>31433.02</v>
      </c>
      <c r="P1004" s="1">
        <v>6000</v>
      </c>
    </row>
    <row r="1005" spans="1:16">
      <c r="A1005" s="1" t="str">
        <f>"20171026"</f>
        <v>20171026</v>
      </c>
      <c r="B1005" s="1" t="str">
        <f t="shared" si="371"/>
        <v>000601</v>
      </c>
      <c r="C1005" s="1" t="str">
        <f t="shared" si="372"/>
        <v>韶能股份</v>
      </c>
      <c r="D1005" s="1" t="str">
        <f t="shared" si="373"/>
        <v>担保品卖出</v>
      </c>
      <c r="E1005" s="1">
        <v>7.89</v>
      </c>
      <c r="F1005" s="1">
        <v>3000</v>
      </c>
      <c r="G1005" s="1">
        <v>23670</v>
      </c>
      <c r="H1005" s="1">
        <v>7.34</v>
      </c>
      <c r="I1005" s="1">
        <v>5.25</v>
      </c>
      <c r="J1005" s="1">
        <v>23.67</v>
      </c>
      <c r="K1005" s="1">
        <v>0</v>
      </c>
      <c r="L1005" s="1">
        <v>0</v>
      </c>
      <c r="M1005" s="1">
        <v>0</v>
      </c>
      <c r="N1005" s="1">
        <v>23638.99</v>
      </c>
      <c r="O1005" s="1">
        <v>55072.01</v>
      </c>
      <c r="P1005" s="1">
        <v>3000</v>
      </c>
    </row>
    <row r="1006" spans="1:16">
      <c r="A1006" s="1" t="str">
        <f t="shared" ref="A1006:A1012" si="374">"20171027"</f>
        <v>20171027</v>
      </c>
      <c r="B1006" s="1" t="str">
        <f t="shared" si="371"/>
        <v>000601</v>
      </c>
      <c r="C1006" s="1" t="str">
        <f t="shared" si="372"/>
        <v>韶能股份</v>
      </c>
      <c r="D1006" s="1" t="str">
        <f>"股息红利差异扣税"</f>
        <v>股息红利差异扣税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-90</v>
      </c>
      <c r="O1006" s="1">
        <v>54982.01</v>
      </c>
      <c r="P1006" s="1">
        <v>0</v>
      </c>
    </row>
    <row r="1007" spans="1:16">
      <c r="A1007" s="1" t="str">
        <f t="shared" si="374"/>
        <v>20171027</v>
      </c>
      <c r="B1007" s="1" t="str">
        <f>"002023"</f>
        <v>002023</v>
      </c>
      <c r="C1007" s="1" t="str">
        <f>"海特高新"</f>
        <v>海特高新</v>
      </c>
      <c r="D1007" s="1" t="str">
        <f t="shared" si="373"/>
        <v>担保品卖出</v>
      </c>
      <c r="E1007" s="1">
        <v>11.09</v>
      </c>
      <c r="F1007" s="1">
        <v>2000</v>
      </c>
      <c r="G1007" s="1">
        <v>22180</v>
      </c>
      <c r="H1007" s="1">
        <v>6.88</v>
      </c>
      <c r="I1007" s="1">
        <v>4.92</v>
      </c>
      <c r="J1007" s="1">
        <v>22.18</v>
      </c>
      <c r="K1007" s="1">
        <v>0</v>
      </c>
      <c r="L1007" s="1">
        <v>0</v>
      </c>
      <c r="M1007" s="1">
        <v>0</v>
      </c>
      <c r="N1007" s="1">
        <v>22150.94</v>
      </c>
      <c r="O1007" s="1">
        <v>77132.95</v>
      </c>
      <c r="P1007" s="1">
        <v>0</v>
      </c>
    </row>
    <row r="1008" spans="1:16">
      <c r="A1008" s="1" t="str">
        <f t="shared" si="374"/>
        <v>20171027</v>
      </c>
      <c r="B1008" s="1" t="str">
        <f>"000543"</f>
        <v>000543</v>
      </c>
      <c r="C1008" s="1" t="str">
        <f>"皖能电力"</f>
        <v>皖能电力</v>
      </c>
      <c r="D1008" s="1" t="str">
        <f t="shared" ref="D1008:D1013" si="375">"融资买入"</f>
        <v>融资买入</v>
      </c>
      <c r="E1008" s="1">
        <v>5.57</v>
      </c>
      <c r="F1008" s="1">
        <v>3000</v>
      </c>
      <c r="G1008" s="1">
        <v>16710</v>
      </c>
      <c r="H1008" s="1">
        <v>8.36</v>
      </c>
      <c r="I1008" s="1">
        <v>6.89</v>
      </c>
      <c r="J1008" s="1">
        <v>0</v>
      </c>
      <c r="K1008" s="1">
        <v>0</v>
      </c>
      <c r="L1008" s="1">
        <v>0</v>
      </c>
      <c r="M1008" s="1">
        <v>0</v>
      </c>
      <c r="N1008" s="1">
        <v>-16718.36</v>
      </c>
      <c r="O1008" s="1">
        <v>60414.59</v>
      </c>
      <c r="P1008" s="1">
        <v>6000</v>
      </c>
    </row>
    <row r="1009" spans="1:16">
      <c r="A1009" s="1" t="str">
        <f t="shared" si="374"/>
        <v>20171027</v>
      </c>
      <c r="B1009" s="1" t="str">
        <f>"000768"</f>
        <v>000768</v>
      </c>
      <c r="C1009" s="1" t="str">
        <f>"中航飞机"</f>
        <v>中航飞机</v>
      </c>
      <c r="D1009" s="1" t="str">
        <f t="shared" si="375"/>
        <v>融资买入</v>
      </c>
      <c r="E1009" s="1">
        <v>19.2</v>
      </c>
      <c r="F1009" s="1">
        <v>1000</v>
      </c>
      <c r="G1009" s="1">
        <v>19200</v>
      </c>
      <c r="H1009" s="1">
        <v>9.6</v>
      </c>
      <c r="I1009" s="1">
        <v>7.91</v>
      </c>
      <c r="J1009" s="1">
        <v>0</v>
      </c>
      <c r="K1009" s="1">
        <v>0</v>
      </c>
      <c r="L1009" s="1">
        <v>0</v>
      </c>
      <c r="M1009" s="1">
        <v>0</v>
      </c>
      <c r="N1009" s="1">
        <v>-19209.6</v>
      </c>
      <c r="O1009" s="1">
        <v>41204.99</v>
      </c>
      <c r="P1009" s="1">
        <v>1000</v>
      </c>
    </row>
    <row r="1010" spans="1:16">
      <c r="A1010" s="1" t="str">
        <f t="shared" si="374"/>
        <v>20171027</v>
      </c>
      <c r="B1010" s="1"/>
      <c r="C1010" s="1"/>
      <c r="D1010" s="1" t="str">
        <f>"融资借入"</f>
        <v>融资借入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16718.36</v>
      </c>
      <c r="O1010" s="1">
        <v>57923.35</v>
      </c>
      <c r="P1010" s="1">
        <v>0</v>
      </c>
    </row>
    <row r="1011" spans="1:16">
      <c r="A1011" s="1" t="str">
        <f t="shared" si="374"/>
        <v>20171027</v>
      </c>
      <c r="B1011" s="1"/>
      <c r="C1011" s="1"/>
      <c r="D1011" s="1" t="str">
        <f>"融资借入"</f>
        <v>融资借入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19209.6</v>
      </c>
      <c r="O1011" s="1">
        <v>77132.95</v>
      </c>
      <c r="P1011" s="1">
        <v>0</v>
      </c>
    </row>
    <row r="1012" spans="1:16">
      <c r="A1012" s="1" t="str">
        <f t="shared" si="374"/>
        <v>20171027</v>
      </c>
      <c r="B1012" s="1"/>
      <c r="C1012" s="1"/>
      <c r="D1012" s="1" t="str">
        <f>"偿还融资负债本金"</f>
        <v>偿还融资负债本金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-22091.28</v>
      </c>
      <c r="O1012" s="1">
        <v>55041.67</v>
      </c>
      <c r="P1012" s="1">
        <v>0</v>
      </c>
    </row>
    <row r="1013" spans="1:16">
      <c r="A1013" s="1" t="str">
        <f t="shared" ref="A1013:A1021" si="376">"20171030"</f>
        <v>20171030</v>
      </c>
      <c r="B1013" s="1" t="str">
        <f t="shared" ref="B1013:B1016" si="377">"002183"</f>
        <v>002183</v>
      </c>
      <c r="C1013" s="1" t="str">
        <f t="shared" ref="C1013:C1016" si="378">"怡 亚 通"</f>
        <v>怡 亚 通</v>
      </c>
      <c r="D1013" s="1" t="str">
        <f t="shared" si="375"/>
        <v>融资买入</v>
      </c>
      <c r="E1013" s="1">
        <v>8.65</v>
      </c>
      <c r="F1013" s="1">
        <v>2500</v>
      </c>
      <c r="G1013" s="1">
        <v>21625</v>
      </c>
      <c r="H1013" s="1">
        <v>10.81</v>
      </c>
      <c r="I1013" s="1">
        <v>8.89</v>
      </c>
      <c r="J1013" s="1">
        <v>0</v>
      </c>
      <c r="K1013" s="1">
        <v>0</v>
      </c>
      <c r="L1013" s="1">
        <v>0</v>
      </c>
      <c r="M1013" s="1">
        <v>0</v>
      </c>
      <c r="N1013" s="1">
        <v>-21635.81</v>
      </c>
      <c r="O1013" s="1">
        <v>33405.86</v>
      </c>
      <c r="P1013" s="1">
        <v>7500</v>
      </c>
    </row>
    <row r="1014" spans="1:16">
      <c r="A1014" s="1" t="str">
        <f t="shared" si="376"/>
        <v>20171030</v>
      </c>
      <c r="B1014" s="1" t="str">
        <f t="shared" si="377"/>
        <v>002183</v>
      </c>
      <c r="C1014" s="1" t="str">
        <f t="shared" si="378"/>
        <v>怡 亚 通</v>
      </c>
      <c r="D1014" s="1" t="str">
        <f>"担保品卖出"</f>
        <v>担保品卖出</v>
      </c>
      <c r="E1014" s="1">
        <v>8.45</v>
      </c>
      <c r="F1014" s="1">
        <v>5000</v>
      </c>
      <c r="G1014" s="1">
        <v>42250</v>
      </c>
      <c r="H1014" s="1">
        <v>13.1</v>
      </c>
      <c r="I1014" s="1">
        <v>9.35</v>
      </c>
      <c r="J1014" s="1">
        <v>42.27</v>
      </c>
      <c r="K1014" s="1">
        <v>0</v>
      </c>
      <c r="L1014" s="1">
        <v>0</v>
      </c>
      <c r="M1014" s="1">
        <v>0</v>
      </c>
      <c r="N1014" s="1">
        <v>42194.63</v>
      </c>
      <c r="O1014" s="1">
        <v>75600.49</v>
      </c>
      <c r="P1014" s="1">
        <v>2500</v>
      </c>
    </row>
    <row r="1015" spans="1:16">
      <c r="A1015" s="1" t="str">
        <f t="shared" si="376"/>
        <v>20171030</v>
      </c>
      <c r="B1015" s="1" t="str">
        <f>"000601"</f>
        <v>000601</v>
      </c>
      <c r="C1015" s="1" t="str">
        <f>"韶能股份"</f>
        <v>韶能股份</v>
      </c>
      <c r="D1015" s="1" t="str">
        <f>"担保品卖出"</f>
        <v>担保品卖出</v>
      </c>
      <c r="E1015" s="1">
        <v>7.87</v>
      </c>
      <c r="F1015" s="1">
        <v>3000</v>
      </c>
      <c r="G1015" s="1">
        <v>23610</v>
      </c>
      <c r="H1015" s="1">
        <v>7.32</v>
      </c>
      <c r="I1015" s="1">
        <v>5.23</v>
      </c>
      <c r="J1015" s="1">
        <v>23.61</v>
      </c>
      <c r="K1015" s="1">
        <v>0</v>
      </c>
      <c r="L1015" s="1">
        <v>0</v>
      </c>
      <c r="M1015" s="1">
        <v>0</v>
      </c>
      <c r="N1015" s="1">
        <v>23579.07</v>
      </c>
      <c r="O1015" s="1">
        <v>99179.56</v>
      </c>
      <c r="P1015" s="1">
        <v>0</v>
      </c>
    </row>
    <row r="1016" spans="1:16">
      <c r="A1016" s="1" t="str">
        <f t="shared" si="376"/>
        <v>20171030</v>
      </c>
      <c r="B1016" s="1" t="str">
        <f t="shared" si="377"/>
        <v>002183</v>
      </c>
      <c r="C1016" s="1" t="str">
        <f t="shared" si="378"/>
        <v>怡 亚 通</v>
      </c>
      <c r="D1016" s="1" t="str">
        <f>"融资买入"</f>
        <v>融资买入</v>
      </c>
      <c r="E1016" s="1">
        <v>8.33</v>
      </c>
      <c r="F1016" s="1">
        <v>2500</v>
      </c>
      <c r="G1016" s="1">
        <v>20825</v>
      </c>
      <c r="H1016" s="1">
        <v>10.41</v>
      </c>
      <c r="I1016" s="1">
        <v>8.56</v>
      </c>
      <c r="J1016" s="1">
        <v>0</v>
      </c>
      <c r="K1016" s="1">
        <v>0</v>
      </c>
      <c r="L1016" s="1">
        <v>0</v>
      </c>
      <c r="M1016" s="1">
        <v>0</v>
      </c>
      <c r="N1016" s="1">
        <v>-20835.41</v>
      </c>
      <c r="O1016" s="1">
        <v>78344.15</v>
      </c>
      <c r="P1016" s="1">
        <v>5000</v>
      </c>
    </row>
    <row r="1017" spans="1:16">
      <c r="A1017" s="1" t="str">
        <f t="shared" si="376"/>
        <v>20171030</v>
      </c>
      <c r="B1017" s="1"/>
      <c r="C1017" s="1"/>
      <c r="D1017" s="1" t="str">
        <f>"融资借入"</f>
        <v>融资借入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21635.81</v>
      </c>
      <c r="O1017" s="1">
        <v>99979.96</v>
      </c>
      <c r="P1017" s="1">
        <v>0</v>
      </c>
    </row>
    <row r="1018" spans="1:16">
      <c r="A1018" s="1" t="str">
        <f t="shared" si="376"/>
        <v>20171030</v>
      </c>
      <c r="B1018" s="1"/>
      <c r="C1018" s="1"/>
      <c r="D1018" s="1" t="str">
        <f>"融资借入"</f>
        <v>融资借入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20835.41</v>
      </c>
      <c r="O1018" s="1">
        <v>120815.37</v>
      </c>
      <c r="P1018" s="1">
        <v>0</v>
      </c>
    </row>
    <row r="1019" spans="1:16">
      <c r="A1019" s="1" t="str">
        <f t="shared" si="376"/>
        <v>20171030</v>
      </c>
      <c r="B1019" s="1"/>
      <c r="C1019" s="1"/>
      <c r="D1019" s="1" t="str">
        <f>"偿还融资负债本金"</f>
        <v>偿还融资负债本金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-19739.64</v>
      </c>
      <c r="O1019" s="1">
        <v>101075.73</v>
      </c>
      <c r="P1019" s="1">
        <v>0</v>
      </c>
    </row>
    <row r="1020" spans="1:16">
      <c r="A1020" s="1" t="str">
        <f t="shared" si="376"/>
        <v>20171030</v>
      </c>
      <c r="B1020" s="1"/>
      <c r="C1020" s="1"/>
      <c r="D1020" s="1" t="str">
        <f>"偿还融资负债本金"</f>
        <v>偿还融资负债本金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-22341.36</v>
      </c>
      <c r="O1020" s="1">
        <v>78734.37</v>
      </c>
      <c r="P1020" s="1">
        <v>0</v>
      </c>
    </row>
    <row r="1021" spans="1:16">
      <c r="A1021" s="1" t="str">
        <f t="shared" si="376"/>
        <v>20171030</v>
      </c>
      <c r="B1021" s="1"/>
      <c r="C1021" s="1"/>
      <c r="D1021" s="1" t="str">
        <f>"偿还融资利息"</f>
        <v>偿还融资利息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-42.53</v>
      </c>
      <c r="O1021" s="1">
        <v>78691.84</v>
      </c>
      <c r="P1021" s="1">
        <v>0</v>
      </c>
    </row>
    <row r="1022" spans="1:16">
      <c r="A1022" s="1" t="str">
        <f t="shared" ref="A1022:A1027" si="379">"20171103"</f>
        <v>20171103</v>
      </c>
      <c r="B1022" s="1" t="str">
        <f>"000601"</f>
        <v>000601</v>
      </c>
      <c r="C1022" s="1" t="str">
        <f>"韶能股份"</f>
        <v>韶能股份</v>
      </c>
      <c r="D1022" s="1" t="str">
        <f>"担保品买入"</f>
        <v>担保品买入</v>
      </c>
      <c r="E1022" s="1">
        <v>8.28</v>
      </c>
      <c r="F1022" s="1">
        <v>3000</v>
      </c>
      <c r="G1022" s="1">
        <v>24840</v>
      </c>
      <c r="H1022" s="1">
        <v>7.7</v>
      </c>
      <c r="I1022" s="1">
        <v>5.49</v>
      </c>
      <c r="J1022" s="1">
        <v>0</v>
      </c>
      <c r="K1022" s="1">
        <v>0</v>
      </c>
      <c r="L1022" s="1">
        <v>0</v>
      </c>
      <c r="M1022" s="1">
        <v>0</v>
      </c>
      <c r="N1022" s="1">
        <v>-24847.7</v>
      </c>
      <c r="O1022" s="1">
        <v>53844.14</v>
      </c>
      <c r="P1022" s="1">
        <v>3000</v>
      </c>
    </row>
    <row r="1023" spans="1:16">
      <c r="A1023" s="1" t="str">
        <f t="shared" si="379"/>
        <v>20171103</v>
      </c>
      <c r="B1023" s="1" t="str">
        <f>"002183"</f>
        <v>002183</v>
      </c>
      <c r="C1023" s="1" t="str">
        <f>"怡 亚 通"</f>
        <v>怡 亚 通</v>
      </c>
      <c r="D1023" s="1" t="str">
        <f>"担保品卖出"</f>
        <v>担保品卖出</v>
      </c>
      <c r="E1023" s="1">
        <v>8.36</v>
      </c>
      <c r="F1023" s="1">
        <v>2500</v>
      </c>
      <c r="G1023" s="1">
        <v>20900</v>
      </c>
      <c r="H1023" s="1">
        <v>6.48</v>
      </c>
      <c r="I1023" s="1">
        <v>4.62</v>
      </c>
      <c r="J1023" s="1">
        <v>20.9</v>
      </c>
      <c r="K1023" s="1">
        <v>0</v>
      </c>
      <c r="L1023" s="1">
        <v>0</v>
      </c>
      <c r="M1023" s="1">
        <v>0</v>
      </c>
      <c r="N1023" s="1">
        <v>20872.62</v>
      </c>
      <c r="O1023" s="1">
        <v>74716.76</v>
      </c>
      <c r="P1023" s="1">
        <v>2500</v>
      </c>
    </row>
    <row r="1024" spans="1:16">
      <c r="A1024" s="1" t="str">
        <f t="shared" si="379"/>
        <v>20171103</v>
      </c>
      <c r="B1024" s="1" t="str">
        <f>"000768"</f>
        <v>000768</v>
      </c>
      <c r="C1024" s="1" t="str">
        <f>"中航飞机"</f>
        <v>中航飞机</v>
      </c>
      <c r="D1024" s="1" t="str">
        <f>"担保品买入"</f>
        <v>担保品买入</v>
      </c>
      <c r="E1024" s="1">
        <v>17.89</v>
      </c>
      <c r="F1024" s="1">
        <v>1000</v>
      </c>
      <c r="G1024" s="1">
        <v>17890</v>
      </c>
      <c r="H1024" s="1">
        <v>5.55</v>
      </c>
      <c r="I1024" s="1">
        <v>3.96</v>
      </c>
      <c r="J1024" s="1">
        <v>0</v>
      </c>
      <c r="K1024" s="1">
        <v>0</v>
      </c>
      <c r="L1024" s="1">
        <v>0</v>
      </c>
      <c r="M1024" s="1">
        <v>0</v>
      </c>
      <c r="N1024" s="1">
        <v>-17895.55</v>
      </c>
      <c r="O1024" s="1">
        <v>56821.21</v>
      </c>
      <c r="P1024" s="1">
        <v>2000</v>
      </c>
    </row>
    <row r="1025" spans="1:16">
      <c r="A1025" s="1" t="str">
        <f t="shared" si="379"/>
        <v>20171103</v>
      </c>
      <c r="B1025" s="1"/>
      <c r="C1025" s="1"/>
      <c r="D1025" s="1" t="str">
        <f t="shared" ref="D1025:D1029" si="380">"偿还融资负债本金"</f>
        <v>偿还融资负债本金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-495.05</v>
      </c>
      <c r="O1025" s="1">
        <v>56326.16</v>
      </c>
      <c r="P1025" s="1">
        <v>0</v>
      </c>
    </row>
    <row r="1026" spans="1:16">
      <c r="A1026" s="1" t="str">
        <f t="shared" si="379"/>
        <v>20171103</v>
      </c>
      <c r="B1026" s="1"/>
      <c r="C1026" s="1"/>
      <c r="D1026" s="1" t="str">
        <f t="shared" si="380"/>
        <v>偿还融资负债本金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-20321.35</v>
      </c>
      <c r="O1026" s="1">
        <v>36004.81</v>
      </c>
      <c r="P1026" s="1">
        <v>0</v>
      </c>
    </row>
    <row r="1027" spans="1:16">
      <c r="A1027" s="1" t="str">
        <f t="shared" si="379"/>
        <v>20171103</v>
      </c>
      <c r="B1027" s="1"/>
      <c r="C1027" s="1"/>
      <c r="D1027" s="1" t="str">
        <f>"偿还融资利息"</f>
        <v>偿还融资利息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-32.23</v>
      </c>
      <c r="O1027" s="1">
        <v>35972.58</v>
      </c>
      <c r="P1027" s="1">
        <v>0</v>
      </c>
    </row>
    <row r="1028" spans="1:16">
      <c r="A1028" s="1" t="str">
        <f>"20171106"</f>
        <v>20171106</v>
      </c>
      <c r="B1028" s="1" t="str">
        <f t="shared" ref="B1028:B1031" si="381">"000768"</f>
        <v>000768</v>
      </c>
      <c r="C1028" s="1" t="str">
        <f t="shared" ref="C1028:C1031" si="382">"中航飞机"</f>
        <v>中航飞机</v>
      </c>
      <c r="D1028" s="1" t="str">
        <f>"担保品卖出"</f>
        <v>担保品卖出</v>
      </c>
      <c r="E1028" s="1">
        <v>18.08</v>
      </c>
      <c r="F1028" s="1">
        <v>1000</v>
      </c>
      <c r="G1028" s="1">
        <v>18080</v>
      </c>
      <c r="H1028" s="1">
        <v>5.6</v>
      </c>
      <c r="I1028" s="1">
        <v>4</v>
      </c>
      <c r="J1028" s="1">
        <v>18.08</v>
      </c>
      <c r="K1028" s="1">
        <v>0</v>
      </c>
      <c r="L1028" s="1">
        <v>0</v>
      </c>
      <c r="M1028" s="1">
        <v>0</v>
      </c>
      <c r="N1028" s="1">
        <v>18056.32</v>
      </c>
      <c r="O1028" s="1">
        <v>54028.9</v>
      </c>
      <c r="P1028" s="1">
        <v>1000</v>
      </c>
    </row>
    <row r="1029" spans="1:16">
      <c r="A1029" s="1" t="str">
        <f>"20171106"</f>
        <v>20171106</v>
      </c>
      <c r="B1029" s="1"/>
      <c r="C1029" s="1"/>
      <c r="D1029" s="1" t="str">
        <f t="shared" si="380"/>
        <v>偿还融资负债本金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-18007.68</v>
      </c>
      <c r="O1029" s="1">
        <v>36021.22</v>
      </c>
      <c r="P1029" s="1">
        <v>0</v>
      </c>
    </row>
    <row r="1030" spans="1:16">
      <c r="A1030" s="1" t="str">
        <f t="shared" ref="A1030:A1033" si="383">"20171107"</f>
        <v>20171107</v>
      </c>
      <c r="B1030" s="1" t="str">
        <f t="shared" si="381"/>
        <v>000768</v>
      </c>
      <c r="C1030" s="1" t="str">
        <f t="shared" si="382"/>
        <v>中航飞机</v>
      </c>
      <c r="D1030" s="1" t="str">
        <f>"担保品买入"</f>
        <v>担保品买入</v>
      </c>
      <c r="E1030" s="1">
        <v>18.21</v>
      </c>
      <c r="F1030" s="1">
        <v>1000</v>
      </c>
      <c r="G1030" s="1">
        <v>18210</v>
      </c>
      <c r="H1030" s="1">
        <v>5.65</v>
      </c>
      <c r="I1030" s="1">
        <v>4.04</v>
      </c>
      <c r="J1030" s="1">
        <v>0</v>
      </c>
      <c r="K1030" s="1">
        <v>0</v>
      </c>
      <c r="L1030" s="1">
        <v>0</v>
      </c>
      <c r="M1030" s="1">
        <v>0</v>
      </c>
      <c r="N1030" s="1">
        <v>-18215.65</v>
      </c>
      <c r="O1030" s="1">
        <v>17805.57</v>
      </c>
      <c r="P1030" s="1">
        <v>2000</v>
      </c>
    </row>
    <row r="1031" spans="1:16">
      <c r="A1031" s="1" t="str">
        <f t="shared" si="383"/>
        <v>20171107</v>
      </c>
      <c r="B1031" s="1" t="str">
        <f t="shared" si="381"/>
        <v>000768</v>
      </c>
      <c r="C1031" s="1" t="str">
        <f t="shared" si="382"/>
        <v>中航飞机</v>
      </c>
      <c r="D1031" s="1" t="str">
        <f>"担保品卖出"</f>
        <v>担保品卖出</v>
      </c>
      <c r="E1031" s="1">
        <v>18.35</v>
      </c>
      <c r="F1031" s="1">
        <v>1000</v>
      </c>
      <c r="G1031" s="1">
        <v>18350</v>
      </c>
      <c r="H1031" s="1">
        <v>5.69</v>
      </c>
      <c r="I1031" s="1">
        <v>4.06</v>
      </c>
      <c r="J1031" s="1">
        <v>18.35</v>
      </c>
      <c r="K1031" s="1">
        <v>0</v>
      </c>
      <c r="L1031" s="1">
        <v>0</v>
      </c>
      <c r="M1031" s="1">
        <v>0</v>
      </c>
      <c r="N1031" s="1">
        <v>18325.96</v>
      </c>
      <c r="O1031" s="1">
        <v>36131.53</v>
      </c>
      <c r="P1031" s="1">
        <v>1000</v>
      </c>
    </row>
    <row r="1032" spans="1:16">
      <c r="A1032" s="1" t="str">
        <f t="shared" si="383"/>
        <v>20171107</v>
      </c>
      <c r="B1032" s="1"/>
      <c r="C1032" s="1"/>
      <c r="D1032" s="1" t="str">
        <f>"偿还融资负债本金"</f>
        <v>偿还融资负债本金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-1201.92</v>
      </c>
      <c r="O1032" s="1">
        <v>34929.61</v>
      </c>
      <c r="P1032" s="1">
        <v>0</v>
      </c>
    </row>
    <row r="1033" spans="1:16">
      <c r="A1033" s="1" t="str">
        <f t="shared" si="383"/>
        <v>20171107</v>
      </c>
      <c r="B1033" s="1"/>
      <c r="C1033" s="1"/>
      <c r="D1033" s="1" t="str">
        <f t="shared" ref="D1033:D1040" si="384">"偿还融资利息"</f>
        <v>偿还融资利息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-44.86</v>
      </c>
      <c r="O1033" s="1">
        <v>34884.75</v>
      </c>
      <c r="P1033" s="1">
        <v>0</v>
      </c>
    </row>
    <row r="1034" spans="1:16">
      <c r="A1034" s="1" t="str">
        <f>"20171113"</f>
        <v>20171113</v>
      </c>
      <c r="B1034" s="1"/>
      <c r="C1034" s="1"/>
      <c r="D1034" s="1" t="str">
        <f>"证券转银行"</f>
        <v>证券转银行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-30000</v>
      </c>
      <c r="O1034" s="1">
        <v>4884.75</v>
      </c>
      <c r="P1034" s="1">
        <v>0</v>
      </c>
    </row>
    <row r="1035" spans="1:16">
      <c r="A1035" s="1" t="str">
        <f t="shared" ref="A1035:A1040" si="385">"20171120"</f>
        <v>20171120</v>
      </c>
      <c r="B1035" s="1"/>
      <c r="C1035" s="1"/>
      <c r="D1035" s="1" t="str">
        <f t="shared" si="384"/>
        <v>偿还融资利息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-161.46</v>
      </c>
      <c r="O1035" s="1">
        <v>4723.29</v>
      </c>
      <c r="P1035" s="1">
        <v>0</v>
      </c>
    </row>
    <row r="1036" spans="1:16">
      <c r="A1036" s="1" t="str">
        <f t="shared" si="385"/>
        <v>20171120</v>
      </c>
      <c r="B1036" s="1"/>
      <c r="C1036" s="1"/>
      <c r="D1036" s="1" t="str">
        <f t="shared" si="384"/>
        <v>偿还融资利息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-46.85</v>
      </c>
      <c r="O1036" s="1">
        <v>4676.44</v>
      </c>
      <c r="P1036" s="1">
        <v>0</v>
      </c>
    </row>
    <row r="1037" spans="1:16">
      <c r="A1037" s="1" t="str">
        <f t="shared" si="385"/>
        <v>20171120</v>
      </c>
      <c r="B1037" s="1"/>
      <c r="C1037" s="1"/>
      <c r="D1037" s="1" t="str">
        <f t="shared" si="384"/>
        <v>偿还融资利息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-122.76</v>
      </c>
      <c r="O1037" s="1">
        <v>4553.68</v>
      </c>
      <c r="P1037" s="1">
        <v>0</v>
      </c>
    </row>
    <row r="1038" spans="1:16">
      <c r="A1038" s="1" t="str">
        <f t="shared" si="385"/>
        <v>20171120</v>
      </c>
      <c r="B1038" s="1"/>
      <c r="C1038" s="1"/>
      <c r="D1038" s="1" t="str">
        <f t="shared" si="384"/>
        <v>偿还融资利息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-97</v>
      </c>
      <c r="O1038" s="1">
        <v>4456.68</v>
      </c>
      <c r="P1038" s="1">
        <v>0</v>
      </c>
    </row>
    <row r="1039" spans="1:16">
      <c r="A1039" s="1" t="str">
        <f t="shared" si="385"/>
        <v>20171120</v>
      </c>
      <c r="B1039" s="1"/>
      <c r="C1039" s="1"/>
      <c r="D1039" s="1" t="str">
        <f t="shared" si="384"/>
        <v>偿还融资利息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-25.51</v>
      </c>
      <c r="O1039" s="1">
        <v>4431.17</v>
      </c>
      <c r="P1039" s="1">
        <v>0</v>
      </c>
    </row>
    <row r="1040" spans="1:16">
      <c r="A1040" s="1" t="str">
        <f t="shared" si="385"/>
        <v>20171120</v>
      </c>
      <c r="B1040" s="1"/>
      <c r="C1040" s="1"/>
      <c r="D1040" s="1" t="str">
        <f t="shared" si="384"/>
        <v>偿还融资利息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-106.29</v>
      </c>
      <c r="O1040" s="1">
        <v>4324.88</v>
      </c>
      <c r="P1040" s="1">
        <v>0</v>
      </c>
    </row>
    <row r="1041" spans="1:16">
      <c r="A1041" s="1" t="str">
        <f>"20171121"</f>
        <v>20171121</v>
      </c>
      <c r="B1041" s="1" t="str">
        <f>"000543"</f>
        <v>000543</v>
      </c>
      <c r="C1041" s="1" t="str">
        <f>"皖能电力"</f>
        <v>皖能电力</v>
      </c>
      <c r="D1041" s="1" t="str">
        <f>"融资买入"</f>
        <v>融资买入</v>
      </c>
      <c r="E1041" s="1">
        <v>5.21</v>
      </c>
      <c r="F1041" s="1">
        <v>3000</v>
      </c>
      <c r="G1041" s="1">
        <v>15630</v>
      </c>
      <c r="H1041" s="1">
        <v>7.82</v>
      </c>
      <c r="I1041" s="1">
        <v>6.44</v>
      </c>
      <c r="J1041" s="1">
        <v>0</v>
      </c>
      <c r="K1041" s="1">
        <v>0</v>
      </c>
      <c r="L1041" s="1">
        <v>0</v>
      </c>
      <c r="M1041" s="1">
        <v>0</v>
      </c>
      <c r="N1041" s="1">
        <v>-15637.82</v>
      </c>
      <c r="O1041" s="1">
        <v>-11312.94</v>
      </c>
      <c r="P1041" s="1">
        <v>9000</v>
      </c>
    </row>
    <row r="1042" spans="1:16">
      <c r="A1042" s="1" t="str">
        <f>"20171121"</f>
        <v>20171121</v>
      </c>
      <c r="B1042" s="1"/>
      <c r="C1042" s="1"/>
      <c r="D1042" s="1" t="str">
        <f>"融资借入"</f>
        <v>融资借入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15637.82</v>
      </c>
      <c r="O1042" s="1">
        <v>4324.88</v>
      </c>
      <c r="P1042" s="1">
        <v>0</v>
      </c>
    </row>
    <row r="1043" spans="1:16">
      <c r="A1043" s="1" t="str">
        <f t="shared" ref="A1043:A1050" si="386">"20171220"</f>
        <v>20171220</v>
      </c>
      <c r="B1043" s="1"/>
      <c r="C1043" s="1"/>
      <c r="D1043" s="1" t="str">
        <f>"利息归本"</f>
        <v>利息归本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12.07</v>
      </c>
      <c r="O1043" s="1">
        <v>4336.95</v>
      </c>
      <c r="P1043" s="1">
        <v>0</v>
      </c>
    </row>
    <row r="1044" spans="1:16">
      <c r="A1044" s="1" t="str">
        <f t="shared" si="386"/>
        <v>20171220</v>
      </c>
      <c r="B1044" s="1"/>
      <c r="C1044" s="1"/>
      <c r="D1044" s="1" t="str">
        <f t="shared" ref="D1044:D1050" si="387">"偿还融资利息"</f>
        <v>偿还融资利息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-156.26</v>
      </c>
      <c r="O1044" s="1">
        <v>4180.69</v>
      </c>
      <c r="P1044" s="1">
        <v>0</v>
      </c>
    </row>
    <row r="1045" spans="1:16">
      <c r="A1045" s="1" t="str">
        <f t="shared" si="386"/>
        <v>20171220</v>
      </c>
      <c r="B1045" s="1"/>
      <c r="C1045" s="1"/>
      <c r="D1045" s="1" t="str">
        <f t="shared" si="387"/>
        <v>偿还融资利息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-15.6</v>
      </c>
      <c r="O1045" s="1">
        <v>4165.09</v>
      </c>
      <c r="P1045" s="1">
        <v>0</v>
      </c>
    </row>
    <row r="1046" spans="1:16">
      <c r="A1046" s="1" t="str">
        <f t="shared" si="386"/>
        <v>20171220</v>
      </c>
      <c r="B1046" s="1"/>
      <c r="C1046" s="1"/>
      <c r="D1046" s="1" t="str">
        <f t="shared" si="387"/>
        <v>偿还融资利息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-118.8</v>
      </c>
      <c r="O1046" s="1">
        <v>4046.29</v>
      </c>
      <c r="P1046" s="1">
        <v>0</v>
      </c>
    </row>
    <row r="1047" spans="1:16">
      <c r="A1047" s="1" t="str">
        <f t="shared" si="386"/>
        <v>20171220</v>
      </c>
      <c r="B1047" s="1"/>
      <c r="C1047" s="1"/>
      <c r="D1047" s="1" t="str">
        <f t="shared" si="387"/>
        <v>偿还融资利息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-116.4</v>
      </c>
      <c r="O1047" s="1">
        <v>3929.89</v>
      </c>
      <c r="P1047" s="1">
        <v>0</v>
      </c>
    </row>
    <row r="1048" spans="1:16">
      <c r="A1048" s="1" t="str">
        <f t="shared" si="386"/>
        <v>20171220</v>
      </c>
      <c r="B1048" s="1"/>
      <c r="C1048" s="1"/>
      <c r="D1048" s="1" t="str">
        <f t="shared" si="387"/>
        <v>偿还融资利息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-9.04</v>
      </c>
      <c r="O1048" s="1">
        <v>3920.85</v>
      </c>
      <c r="P1048" s="1">
        <v>0</v>
      </c>
    </row>
    <row r="1049" spans="1:16">
      <c r="A1049" s="1" t="str">
        <f t="shared" si="386"/>
        <v>20171220</v>
      </c>
      <c r="B1049" s="1"/>
      <c r="C1049" s="1"/>
      <c r="D1049" s="1" t="str">
        <f t="shared" si="387"/>
        <v>偿还融资利息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-144.94</v>
      </c>
      <c r="O1049" s="1">
        <v>3775.91</v>
      </c>
      <c r="P1049" s="1">
        <v>0</v>
      </c>
    </row>
    <row r="1050" spans="1:16">
      <c r="A1050" s="1" t="str">
        <f t="shared" si="386"/>
        <v>20171220</v>
      </c>
      <c r="B1050" s="1"/>
      <c r="C1050" s="1"/>
      <c r="D1050" s="1" t="str">
        <f t="shared" si="387"/>
        <v>偿还融资利息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-108.86</v>
      </c>
      <c r="O1050" s="1">
        <v>3667.05</v>
      </c>
      <c r="P1050" s="1">
        <v>0</v>
      </c>
    </row>
    <row r="1051" spans="1:16">
      <c r="A1051" s="1" t="str">
        <f>"20171226"</f>
        <v>20171226</v>
      </c>
      <c r="B1051" s="1" t="str">
        <f>"000543"</f>
        <v>000543</v>
      </c>
      <c r="C1051" s="1" t="str">
        <f>"皖能电力"</f>
        <v>皖能电力</v>
      </c>
      <c r="D1051" s="1" t="str">
        <f>"融资买入"</f>
        <v>融资买入</v>
      </c>
      <c r="E1051" s="1">
        <v>5.01</v>
      </c>
      <c r="F1051" s="1">
        <v>3000</v>
      </c>
      <c r="G1051" s="1">
        <v>15030</v>
      </c>
      <c r="H1051" s="1">
        <v>7.52</v>
      </c>
      <c r="I1051" s="1">
        <v>6.19</v>
      </c>
      <c r="J1051" s="1">
        <v>0</v>
      </c>
      <c r="K1051" s="1">
        <v>0</v>
      </c>
      <c r="L1051" s="1">
        <v>0</v>
      </c>
      <c r="M1051" s="1">
        <v>0</v>
      </c>
      <c r="N1051" s="1">
        <v>-15037.52</v>
      </c>
      <c r="O1051" s="1">
        <v>-11370.47</v>
      </c>
      <c r="P1051" s="1">
        <v>12000</v>
      </c>
    </row>
    <row r="1052" spans="1:16">
      <c r="A1052" s="1" t="str">
        <f>"20171226"</f>
        <v>20171226</v>
      </c>
      <c r="B1052" s="1"/>
      <c r="C1052" s="1"/>
      <c r="D1052" s="1" t="str">
        <f>"融资借入"</f>
        <v>融资借入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15037.52</v>
      </c>
      <c r="O1052" s="1">
        <v>3667.05</v>
      </c>
      <c r="P1052" s="1">
        <v>0</v>
      </c>
    </row>
    <row r="1053" spans="1:16">
      <c r="A1053" s="1" t="str">
        <f t="shared" ref="A1053:A1057" si="388">"20180110"</f>
        <v>20180110</v>
      </c>
      <c r="B1053" s="1" t="str">
        <f>"002183"</f>
        <v>002183</v>
      </c>
      <c r="C1053" s="1" t="str">
        <f>"怡 亚 通"</f>
        <v>怡 亚 通</v>
      </c>
      <c r="D1053" s="1" t="str">
        <f>"融资买入"</f>
        <v>融资买入</v>
      </c>
      <c r="E1053" s="1">
        <v>7.51</v>
      </c>
      <c r="F1053" s="1">
        <v>2500</v>
      </c>
      <c r="G1053" s="1">
        <v>18775</v>
      </c>
      <c r="H1053" s="1">
        <v>9.39</v>
      </c>
      <c r="I1053" s="1">
        <v>7.72</v>
      </c>
      <c r="J1053" s="1">
        <v>0</v>
      </c>
      <c r="K1053" s="1">
        <v>0</v>
      </c>
      <c r="L1053" s="1">
        <v>0</v>
      </c>
      <c r="M1053" s="1">
        <v>0</v>
      </c>
      <c r="N1053" s="1">
        <v>-18784.39</v>
      </c>
      <c r="O1053" s="1">
        <v>-15117.34</v>
      </c>
      <c r="P1053" s="1">
        <v>5000</v>
      </c>
    </row>
    <row r="1054" spans="1:16">
      <c r="A1054" s="1" t="str">
        <f t="shared" si="388"/>
        <v>20180110</v>
      </c>
      <c r="B1054" s="1" t="str">
        <f>"000543"</f>
        <v>000543</v>
      </c>
      <c r="C1054" s="1" t="str">
        <f>"皖能电力"</f>
        <v>皖能电力</v>
      </c>
      <c r="D1054" s="1" t="str">
        <f>"卖券还款"</f>
        <v>卖券还款</v>
      </c>
      <c r="E1054" s="1">
        <v>5.14</v>
      </c>
      <c r="F1054" s="1">
        <v>3000</v>
      </c>
      <c r="G1054" s="1">
        <v>15420</v>
      </c>
      <c r="H1054" s="1">
        <v>7.71</v>
      </c>
      <c r="I1054" s="1">
        <v>6.33</v>
      </c>
      <c r="J1054" s="1">
        <v>15.42</v>
      </c>
      <c r="K1054" s="1">
        <v>0</v>
      </c>
      <c r="L1054" s="1">
        <v>0</v>
      </c>
      <c r="M1054" s="1">
        <v>0</v>
      </c>
      <c r="N1054" s="1">
        <v>15396.87</v>
      </c>
      <c r="O1054" s="1">
        <v>279.53</v>
      </c>
      <c r="P1054" s="1">
        <v>9000</v>
      </c>
    </row>
    <row r="1055" spans="1:16">
      <c r="A1055" s="1" t="str">
        <f t="shared" si="388"/>
        <v>20180110</v>
      </c>
      <c r="B1055" s="1"/>
      <c r="C1055" s="1"/>
      <c r="D1055" s="1" t="str">
        <f>"融资借入"</f>
        <v>融资借入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18784.39</v>
      </c>
      <c r="O1055" s="1">
        <v>19063.92</v>
      </c>
      <c r="P1055" s="1">
        <v>0</v>
      </c>
    </row>
    <row r="1056" spans="1:16">
      <c r="A1056" s="1" t="str">
        <f t="shared" si="388"/>
        <v>20180110</v>
      </c>
      <c r="B1056" s="1"/>
      <c r="C1056" s="1"/>
      <c r="D1056" s="1" t="str">
        <f>"偿还融资利息"</f>
        <v>偿还融资利息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-104.17</v>
      </c>
      <c r="O1056" s="1">
        <v>18959.75</v>
      </c>
      <c r="P1056" s="1">
        <v>0</v>
      </c>
    </row>
    <row r="1057" spans="1:16">
      <c r="A1057" s="1" t="str">
        <f t="shared" si="388"/>
        <v>20180110</v>
      </c>
      <c r="B1057" s="1"/>
      <c r="C1057" s="1"/>
      <c r="D1057" s="1" t="str">
        <f>"偿还融资负债本金"</f>
        <v>偿还融资负债本金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-15254.15</v>
      </c>
      <c r="O1057" s="1">
        <v>3705.6</v>
      </c>
      <c r="P1057" s="1">
        <v>0</v>
      </c>
    </row>
    <row r="1058" spans="1:16">
      <c r="A1058" s="1" t="str">
        <f t="shared" ref="A1058:A1066" si="389">"20180112"</f>
        <v>20180112</v>
      </c>
      <c r="B1058" s="1" t="str">
        <f>"002183"</f>
        <v>002183</v>
      </c>
      <c r="C1058" s="1" t="str">
        <f>"怡 亚 通"</f>
        <v>怡 亚 通</v>
      </c>
      <c r="D1058" s="1" t="str">
        <f>"卖券还款"</f>
        <v>卖券还款</v>
      </c>
      <c r="E1058" s="1">
        <v>7.73</v>
      </c>
      <c r="F1058" s="1">
        <v>2500</v>
      </c>
      <c r="G1058" s="1">
        <v>19325</v>
      </c>
      <c r="H1058" s="1">
        <v>9.66</v>
      </c>
      <c r="I1058" s="1">
        <v>7.94</v>
      </c>
      <c r="J1058" s="1">
        <v>19.33</v>
      </c>
      <c r="K1058" s="1">
        <v>0</v>
      </c>
      <c r="L1058" s="1">
        <v>0</v>
      </c>
      <c r="M1058" s="1">
        <v>0</v>
      </c>
      <c r="N1058" s="1">
        <v>19296.01</v>
      </c>
      <c r="O1058" s="1">
        <v>23001.61</v>
      </c>
      <c r="P1058" s="1">
        <v>2500</v>
      </c>
    </row>
    <row r="1059" spans="1:16">
      <c r="A1059" s="1" t="str">
        <f t="shared" si="389"/>
        <v>20180112</v>
      </c>
      <c r="B1059" s="1" t="str">
        <f>"000543"</f>
        <v>000543</v>
      </c>
      <c r="C1059" s="1" t="str">
        <f>"皖能电力"</f>
        <v>皖能电力</v>
      </c>
      <c r="D1059" s="1" t="str">
        <f>"融资买入"</f>
        <v>融资买入</v>
      </c>
      <c r="E1059" s="1">
        <v>5.1</v>
      </c>
      <c r="F1059" s="1">
        <v>3000</v>
      </c>
      <c r="G1059" s="1">
        <v>15300</v>
      </c>
      <c r="H1059" s="1">
        <v>7.65</v>
      </c>
      <c r="I1059" s="1">
        <v>6.28</v>
      </c>
      <c r="J1059" s="1">
        <v>0</v>
      </c>
      <c r="K1059" s="1">
        <v>0</v>
      </c>
      <c r="L1059" s="1">
        <v>0</v>
      </c>
      <c r="M1059" s="1">
        <v>0</v>
      </c>
      <c r="N1059" s="1">
        <v>-15307.65</v>
      </c>
      <c r="O1059" s="1">
        <v>7693.96</v>
      </c>
      <c r="P1059" s="1">
        <v>12000</v>
      </c>
    </row>
    <row r="1060" spans="1:16">
      <c r="A1060" s="1" t="str">
        <f t="shared" si="389"/>
        <v>20180112</v>
      </c>
      <c r="B1060" s="1"/>
      <c r="C1060" s="1"/>
      <c r="D1060" s="1" t="str">
        <f>"融资借入"</f>
        <v>融资借入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15307.65</v>
      </c>
      <c r="O1060" s="1">
        <v>23001.61</v>
      </c>
      <c r="P1060" s="1">
        <v>0</v>
      </c>
    </row>
    <row r="1061" spans="1:16">
      <c r="A1061" s="1" t="str">
        <f t="shared" si="389"/>
        <v>20180112</v>
      </c>
      <c r="B1061" s="1"/>
      <c r="C1061" s="1"/>
      <c r="D1061" s="1" t="str">
        <f t="shared" ref="D1061:D1065" si="390">"偿还融资利息"</f>
        <v>偿还融资利息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-3.34</v>
      </c>
      <c r="O1061" s="1">
        <v>22998.27</v>
      </c>
      <c r="P1061" s="1">
        <v>0</v>
      </c>
    </row>
    <row r="1062" spans="1:16">
      <c r="A1062" s="1" t="str">
        <f t="shared" si="389"/>
        <v>20180112</v>
      </c>
      <c r="B1062" s="1"/>
      <c r="C1062" s="1"/>
      <c r="D1062" s="1" t="str">
        <f t="shared" ref="D1062:D1066" si="391">"偿还融资负债本金"</f>
        <v>偿还融资负债本金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-7190.88</v>
      </c>
      <c r="O1062" s="1">
        <v>15807.39</v>
      </c>
      <c r="P1062" s="1">
        <v>0</v>
      </c>
    </row>
    <row r="1063" spans="1:16">
      <c r="A1063" s="1" t="str">
        <f t="shared" si="389"/>
        <v>20180112</v>
      </c>
      <c r="B1063" s="1"/>
      <c r="C1063" s="1"/>
      <c r="D1063" s="1" t="str">
        <f t="shared" si="390"/>
        <v>偿还融资利息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-11.44</v>
      </c>
      <c r="O1063" s="1">
        <v>15795.95</v>
      </c>
      <c r="P1063" s="1">
        <v>0</v>
      </c>
    </row>
    <row r="1064" spans="1:16">
      <c r="A1064" s="1" t="str">
        <f t="shared" si="389"/>
        <v>20180112</v>
      </c>
      <c r="B1064" s="1"/>
      <c r="C1064" s="1"/>
      <c r="D1064" s="1" t="str">
        <f t="shared" si="391"/>
        <v>偿还融资负债本金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-2240.88</v>
      </c>
      <c r="O1064" s="1">
        <v>13555.07</v>
      </c>
      <c r="P1064" s="1">
        <v>0</v>
      </c>
    </row>
    <row r="1065" spans="1:16">
      <c r="A1065" s="1" t="str">
        <f t="shared" si="389"/>
        <v>20180112</v>
      </c>
      <c r="B1065" s="1"/>
      <c r="C1065" s="1"/>
      <c r="D1065" s="1" t="str">
        <f t="shared" si="390"/>
        <v>偿还融资利息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-87.12</v>
      </c>
      <c r="O1065" s="1">
        <v>13467.95</v>
      </c>
      <c r="P1065" s="1">
        <v>0</v>
      </c>
    </row>
    <row r="1066" spans="1:16">
      <c r="A1066" s="1" t="str">
        <f t="shared" si="389"/>
        <v>20180112</v>
      </c>
      <c r="B1066" s="1"/>
      <c r="C1066" s="1"/>
      <c r="D1066" s="1" t="str">
        <f t="shared" si="391"/>
        <v>偿还融资负债本金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-9714.03</v>
      </c>
      <c r="O1066" s="1">
        <v>3753.92</v>
      </c>
      <c r="P1066" s="1">
        <v>0</v>
      </c>
    </row>
    <row r="1067" spans="1:16">
      <c r="A1067" s="1" t="str">
        <f t="shared" ref="A1067:A1074" si="392">"20180119"</f>
        <v>20180119</v>
      </c>
      <c r="B1067" s="1"/>
      <c r="C1067" s="1"/>
      <c r="D1067" s="1" t="str">
        <f t="shared" ref="D1067:D1074" si="393">"偿还融资利息"</f>
        <v>偿还融资利息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-13.68</v>
      </c>
      <c r="O1067" s="1">
        <v>3740.24</v>
      </c>
      <c r="P1067" s="1">
        <v>0</v>
      </c>
    </row>
    <row r="1068" spans="1:16">
      <c r="A1068" s="1" t="str">
        <f t="shared" si="392"/>
        <v>20180119</v>
      </c>
      <c r="B1068" s="1"/>
      <c r="C1068" s="1"/>
      <c r="D1068" s="1" t="str">
        <f t="shared" si="393"/>
        <v>偿还融资利息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-116.39</v>
      </c>
      <c r="O1068" s="1">
        <v>3623.85</v>
      </c>
      <c r="P1068" s="1">
        <v>0</v>
      </c>
    </row>
    <row r="1069" spans="1:16">
      <c r="A1069" s="1" t="str">
        <f t="shared" si="392"/>
        <v>20180119</v>
      </c>
      <c r="B1069" s="1"/>
      <c r="C1069" s="1"/>
      <c r="D1069" s="1" t="str">
        <f t="shared" si="393"/>
        <v>偿还融资利息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-9.04</v>
      </c>
      <c r="O1069" s="1">
        <v>3614.81</v>
      </c>
      <c r="P1069" s="1">
        <v>0</v>
      </c>
    </row>
    <row r="1070" spans="1:16">
      <c r="A1070" s="1" t="str">
        <f t="shared" si="392"/>
        <v>20180119</v>
      </c>
      <c r="B1070" s="1"/>
      <c r="C1070" s="1"/>
      <c r="D1070" s="1" t="str">
        <f t="shared" si="393"/>
        <v>偿还融资利息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-144.94</v>
      </c>
      <c r="O1070" s="1">
        <v>3469.87</v>
      </c>
      <c r="P1070" s="1">
        <v>0</v>
      </c>
    </row>
    <row r="1071" spans="1:16">
      <c r="A1071" s="1" t="str">
        <f t="shared" si="392"/>
        <v>20180119</v>
      </c>
      <c r="B1071" s="1"/>
      <c r="C1071" s="1"/>
      <c r="D1071" s="1" t="str">
        <f t="shared" si="393"/>
        <v>偿还融资利息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-108.86</v>
      </c>
      <c r="O1071" s="1">
        <v>3361.01</v>
      </c>
      <c r="P1071" s="1">
        <v>0</v>
      </c>
    </row>
    <row r="1072" spans="1:16">
      <c r="A1072" s="1" t="str">
        <f t="shared" si="392"/>
        <v>20180119</v>
      </c>
      <c r="B1072" s="1"/>
      <c r="C1072" s="1"/>
      <c r="D1072" s="1" t="str">
        <f t="shared" si="393"/>
        <v>偿还融资利息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-87.24</v>
      </c>
      <c r="O1072" s="1">
        <v>3273.77</v>
      </c>
      <c r="P1072" s="1">
        <v>0</v>
      </c>
    </row>
    <row r="1073" spans="1:16">
      <c r="A1073" s="1" t="str">
        <f t="shared" si="392"/>
        <v>20180119</v>
      </c>
      <c r="B1073" s="1"/>
      <c r="C1073" s="1"/>
      <c r="D1073" s="1" t="str">
        <f t="shared" si="393"/>
        <v>偿还融资利息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-43.59</v>
      </c>
      <c r="O1073" s="1">
        <v>3230.18</v>
      </c>
      <c r="P1073" s="1">
        <v>0</v>
      </c>
    </row>
    <row r="1074" spans="1:16">
      <c r="A1074" s="1" t="str">
        <f t="shared" si="392"/>
        <v>20180119</v>
      </c>
      <c r="B1074" s="1"/>
      <c r="C1074" s="1"/>
      <c r="D1074" s="1" t="str">
        <f t="shared" si="393"/>
        <v>偿还融资利息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-28.4</v>
      </c>
      <c r="O1074" s="1">
        <v>3201.78</v>
      </c>
      <c r="P1074" s="1">
        <v>0</v>
      </c>
    </row>
    <row r="1075" spans="1:16">
      <c r="A1075" s="1" t="str">
        <f t="shared" ref="A1075:A1079" si="394">"20180129"</f>
        <v>20180129</v>
      </c>
      <c r="B1075" s="1" t="str">
        <f>"000543"</f>
        <v>000543</v>
      </c>
      <c r="C1075" s="1" t="str">
        <f>"皖能电力"</f>
        <v>皖能电力</v>
      </c>
      <c r="D1075" s="1" t="str">
        <f>"卖券还款"</f>
        <v>卖券还款</v>
      </c>
      <c r="E1075" s="1">
        <v>5.21</v>
      </c>
      <c r="F1075" s="1">
        <v>3000</v>
      </c>
      <c r="G1075" s="1">
        <v>15630</v>
      </c>
      <c r="H1075" s="1">
        <v>7.82</v>
      </c>
      <c r="I1075" s="1">
        <v>6.44</v>
      </c>
      <c r="J1075" s="1">
        <v>15.63</v>
      </c>
      <c r="K1075" s="1">
        <v>0</v>
      </c>
      <c r="L1075" s="1">
        <v>0</v>
      </c>
      <c r="M1075" s="1">
        <v>0</v>
      </c>
      <c r="N1075" s="1">
        <v>15606.55</v>
      </c>
      <c r="O1075" s="1">
        <v>18808.33</v>
      </c>
      <c r="P1075" s="1">
        <v>9000</v>
      </c>
    </row>
    <row r="1076" spans="1:16">
      <c r="A1076" s="1" t="str">
        <f t="shared" si="394"/>
        <v>20180129</v>
      </c>
      <c r="B1076" s="1"/>
      <c r="C1076" s="1"/>
      <c r="D1076" s="1" t="str">
        <f>"偿还融资利息"</f>
        <v>偿还融资利息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-15.39</v>
      </c>
      <c r="O1076" s="1">
        <v>18792.94</v>
      </c>
      <c r="P1076" s="1">
        <v>0</v>
      </c>
    </row>
    <row r="1077" spans="1:16">
      <c r="A1077" s="1" t="str">
        <f t="shared" si="394"/>
        <v>20180129</v>
      </c>
      <c r="B1077" s="1"/>
      <c r="C1077" s="1"/>
      <c r="D1077" s="1" t="str">
        <f>"偿还融资负债本金"</f>
        <v>偿还融资负债本金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-7364.51</v>
      </c>
      <c r="O1077" s="1">
        <v>11428.43</v>
      </c>
      <c r="P1077" s="1">
        <v>0</v>
      </c>
    </row>
    <row r="1078" spans="1:16">
      <c r="A1078" s="1" t="str">
        <f t="shared" si="394"/>
        <v>20180129</v>
      </c>
      <c r="B1078" s="1"/>
      <c r="C1078" s="1"/>
      <c r="D1078" s="1" t="str">
        <f>"偿还融资利息"</f>
        <v>偿还融资利息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-34.92</v>
      </c>
      <c r="O1078" s="1">
        <v>11393.51</v>
      </c>
      <c r="P1078" s="1">
        <v>0</v>
      </c>
    </row>
    <row r="1079" spans="1:16">
      <c r="A1079" s="1" t="str">
        <f t="shared" si="394"/>
        <v>20180129</v>
      </c>
      <c r="B1079" s="1"/>
      <c r="C1079" s="1"/>
      <c r="D1079" s="1" t="str">
        <f>"偿还融资负债本金"</f>
        <v>偿还融资负债本金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-8152.66</v>
      </c>
      <c r="O1079" s="1">
        <v>3240.85</v>
      </c>
      <c r="P1079" s="1">
        <v>0</v>
      </c>
    </row>
    <row r="1080" spans="1:16">
      <c r="A1080" s="1" t="str">
        <f>"20180131"</f>
        <v>20180131</v>
      </c>
      <c r="B1080" s="1" t="str">
        <f>"000543"</f>
        <v>000543</v>
      </c>
      <c r="C1080" s="1" t="str">
        <f>"皖能电力"</f>
        <v>皖能电力</v>
      </c>
      <c r="D1080" s="1" t="str">
        <f>"融资买入"</f>
        <v>融资买入</v>
      </c>
      <c r="E1080" s="1">
        <v>5.1</v>
      </c>
      <c r="F1080" s="1">
        <v>3000</v>
      </c>
      <c r="G1080" s="1">
        <v>15300</v>
      </c>
      <c r="H1080" s="1">
        <v>7.65</v>
      </c>
      <c r="I1080" s="1">
        <v>6.28</v>
      </c>
      <c r="J1080" s="1">
        <v>0</v>
      </c>
      <c r="K1080" s="1">
        <v>0</v>
      </c>
      <c r="L1080" s="1">
        <v>0</v>
      </c>
      <c r="M1080" s="1">
        <v>0</v>
      </c>
      <c r="N1080" s="1">
        <v>-15307.65</v>
      </c>
      <c r="O1080" s="1">
        <v>-12066.8</v>
      </c>
      <c r="P1080" s="1">
        <v>12000</v>
      </c>
    </row>
    <row r="1081" spans="1:16">
      <c r="A1081" s="1" t="str">
        <f>"20180131"</f>
        <v>20180131</v>
      </c>
      <c r="B1081" s="1"/>
      <c r="C1081" s="1"/>
      <c r="D1081" s="1" t="str">
        <f>"融资借入"</f>
        <v>融资借入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15307.65</v>
      </c>
      <c r="O1081" s="1">
        <v>3240.85</v>
      </c>
      <c r="P1081" s="1">
        <v>0</v>
      </c>
    </row>
    <row r="1082" spans="1:16">
      <c r="A1082" s="1" t="str">
        <f>"20180206"</f>
        <v>20180206</v>
      </c>
      <c r="B1082" s="1" t="str">
        <f>"600886"</f>
        <v>600886</v>
      </c>
      <c r="C1082" s="1" t="str">
        <f>"国投电力"</f>
        <v>国投电力</v>
      </c>
      <c r="D1082" s="1" t="str">
        <f t="shared" ref="D1082:D1085" si="395">"担保品卖出"</f>
        <v>担保品卖出</v>
      </c>
      <c r="E1082" s="1">
        <v>7.04</v>
      </c>
      <c r="F1082" s="1">
        <v>6000</v>
      </c>
      <c r="G1082" s="1">
        <v>42240</v>
      </c>
      <c r="H1082" s="1">
        <v>13.09</v>
      </c>
      <c r="I1082" s="1">
        <v>10.19</v>
      </c>
      <c r="J1082" s="1">
        <v>42.24</v>
      </c>
      <c r="K1082" s="1">
        <v>0.85</v>
      </c>
      <c r="L1082" s="1">
        <v>0</v>
      </c>
      <c r="M1082" s="1">
        <v>0</v>
      </c>
      <c r="N1082" s="1">
        <v>42183.82</v>
      </c>
      <c r="O1082" s="1">
        <v>45424.67</v>
      </c>
      <c r="P1082" s="1">
        <v>21800</v>
      </c>
    </row>
    <row r="1083" spans="1:16">
      <c r="A1083" s="1" t="str">
        <f>"20180207"</f>
        <v>20180207</v>
      </c>
      <c r="B1083" s="1" t="str">
        <f>"600886"</f>
        <v>600886</v>
      </c>
      <c r="C1083" s="1" t="str">
        <f>"国投电力"</f>
        <v>国投电力</v>
      </c>
      <c r="D1083" s="1" t="str">
        <f t="shared" si="395"/>
        <v>担保品卖出</v>
      </c>
      <c r="E1083" s="1">
        <v>6.99</v>
      </c>
      <c r="F1083" s="1">
        <v>3000</v>
      </c>
      <c r="G1083" s="1">
        <v>20970</v>
      </c>
      <c r="H1083" s="1">
        <v>6.5</v>
      </c>
      <c r="I1083" s="1">
        <v>5.05</v>
      </c>
      <c r="J1083" s="1">
        <v>20.97</v>
      </c>
      <c r="K1083" s="1">
        <v>0.42</v>
      </c>
      <c r="L1083" s="1">
        <v>0</v>
      </c>
      <c r="M1083" s="1">
        <v>0</v>
      </c>
      <c r="N1083" s="1">
        <v>20942.11</v>
      </c>
      <c r="O1083" s="1">
        <v>66366.78</v>
      </c>
      <c r="P1083" s="1">
        <v>18800</v>
      </c>
    </row>
    <row r="1084" spans="1:16">
      <c r="A1084" s="1" t="str">
        <f>"20180208"</f>
        <v>20180208</v>
      </c>
      <c r="B1084" s="1" t="str">
        <f>"000543"</f>
        <v>000543</v>
      </c>
      <c r="C1084" s="1" t="str">
        <f>"皖能电力"</f>
        <v>皖能电力</v>
      </c>
      <c r="D1084" s="1" t="str">
        <f>"担保品买入"</f>
        <v>担保品买入</v>
      </c>
      <c r="E1084" s="1">
        <v>4.71</v>
      </c>
      <c r="F1084" s="1">
        <v>3000</v>
      </c>
      <c r="G1084" s="1">
        <v>14130</v>
      </c>
      <c r="H1084" s="1">
        <v>5</v>
      </c>
      <c r="I1084" s="1">
        <v>3.75</v>
      </c>
      <c r="J1084" s="1">
        <v>0</v>
      </c>
      <c r="K1084" s="1">
        <v>0</v>
      </c>
      <c r="L1084" s="1">
        <v>0</v>
      </c>
      <c r="M1084" s="1">
        <v>0</v>
      </c>
      <c r="N1084" s="1">
        <v>-14135</v>
      </c>
      <c r="O1084" s="1">
        <v>52231.78</v>
      </c>
      <c r="P1084" s="1">
        <v>15000</v>
      </c>
    </row>
    <row r="1085" spans="1:16">
      <c r="A1085" s="1" t="str">
        <f>"20180209"</f>
        <v>20180209</v>
      </c>
      <c r="B1085" s="1" t="str">
        <f>"000768"</f>
        <v>000768</v>
      </c>
      <c r="C1085" s="1" t="str">
        <f>"中航飞机"</f>
        <v>中航飞机</v>
      </c>
      <c r="D1085" s="1" t="str">
        <f t="shared" si="395"/>
        <v>担保品卖出</v>
      </c>
      <c r="E1085" s="1">
        <v>12.93</v>
      </c>
      <c r="F1085" s="1">
        <v>1000</v>
      </c>
      <c r="G1085" s="1">
        <v>12930</v>
      </c>
      <c r="H1085" s="1">
        <v>5</v>
      </c>
      <c r="I1085" s="1">
        <v>3.85</v>
      </c>
      <c r="J1085" s="1">
        <v>12.93</v>
      </c>
      <c r="K1085" s="1">
        <v>0</v>
      </c>
      <c r="L1085" s="1">
        <v>0</v>
      </c>
      <c r="M1085" s="1">
        <v>0</v>
      </c>
      <c r="N1085" s="1">
        <v>12912.07</v>
      </c>
      <c r="O1085" s="1">
        <v>65143.85</v>
      </c>
      <c r="P1085" s="1">
        <v>0</v>
      </c>
    </row>
    <row r="1086" spans="1:16">
      <c r="A1086" s="1" t="str">
        <f t="shared" ref="A1086:A1097" si="396">"20180214"</f>
        <v>20180214</v>
      </c>
      <c r="B1086" s="1"/>
      <c r="C1086" s="1"/>
      <c r="D1086" s="1" t="str">
        <f t="shared" ref="D1086:D1090" si="397">"偿还融资负债本金"</f>
        <v>偿还融资负债本金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-8565.7</v>
      </c>
      <c r="O1086" s="1">
        <v>56546.33</v>
      </c>
      <c r="P1086" s="1">
        <v>0</v>
      </c>
    </row>
    <row r="1087" spans="1:16">
      <c r="A1087" s="1" t="str">
        <f t="shared" si="396"/>
        <v>20180214</v>
      </c>
      <c r="B1087" s="1"/>
      <c r="C1087" s="1"/>
      <c r="D1087" s="1" t="str">
        <f t="shared" ref="D1087:D1097" si="398">"偿还融资利息"</f>
        <v>偿还融资利息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-31.82</v>
      </c>
      <c r="O1087" s="1">
        <v>65112.03</v>
      </c>
      <c r="P1087" s="1">
        <v>0</v>
      </c>
    </row>
    <row r="1088" spans="1:16">
      <c r="A1088" s="1" t="str">
        <f t="shared" si="396"/>
        <v>20180214</v>
      </c>
      <c r="B1088" s="1"/>
      <c r="C1088" s="1"/>
      <c r="D1088" s="1" t="str">
        <f t="shared" si="397"/>
        <v>偿还融资负债本金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-1314.46</v>
      </c>
      <c r="O1088" s="1">
        <v>55224.33</v>
      </c>
      <c r="P1088" s="1">
        <v>0</v>
      </c>
    </row>
    <row r="1089" spans="1:16">
      <c r="A1089" s="1" t="str">
        <f t="shared" si="396"/>
        <v>20180214</v>
      </c>
      <c r="B1089" s="1"/>
      <c r="C1089" s="1"/>
      <c r="D1089" s="1" t="str">
        <f t="shared" si="398"/>
        <v>偿还融资利息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-7.54</v>
      </c>
      <c r="O1089" s="1">
        <v>56538.79</v>
      </c>
      <c r="P1089" s="1">
        <v>0</v>
      </c>
    </row>
    <row r="1090" spans="1:16">
      <c r="A1090" s="1" t="str">
        <f t="shared" si="396"/>
        <v>20180214</v>
      </c>
      <c r="B1090" s="1"/>
      <c r="C1090" s="1"/>
      <c r="D1090" s="1" t="str">
        <f t="shared" si="397"/>
        <v>偿还融资负债本金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-19959.69</v>
      </c>
      <c r="O1090" s="1">
        <v>35143.85</v>
      </c>
      <c r="P1090" s="1">
        <v>0</v>
      </c>
    </row>
    <row r="1091" spans="1:16">
      <c r="A1091" s="1" t="str">
        <f t="shared" si="396"/>
        <v>20180214</v>
      </c>
      <c r="B1091" s="1"/>
      <c r="C1091" s="1"/>
      <c r="D1091" s="1" t="str">
        <f t="shared" si="398"/>
        <v>偿还融资利息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-120.79</v>
      </c>
      <c r="O1091" s="1">
        <v>55103.54</v>
      </c>
      <c r="P1091" s="1">
        <v>0</v>
      </c>
    </row>
    <row r="1092" spans="1:16">
      <c r="A1092" s="1" t="str">
        <f t="shared" si="396"/>
        <v>20180214</v>
      </c>
      <c r="B1092" s="1"/>
      <c r="C1092" s="1"/>
      <c r="D1092" s="1" t="str">
        <f t="shared" si="398"/>
        <v>偿还融资利息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-0.2</v>
      </c>
      <c r="O1092" s="1">
        <v>35143.65</v>
      </c>
      <c r="P1092" s="1">
        <v>0</v>
      </c>
    </row>
    <row r="1093" spans="1:16">
      <c r="A1093" s="1" t="str">
        <f t="shared" si="396"/>
        <v>20180214</v>
      </c>
      <c r="B1093" s="1"/>
      <c r="C1093" s="1"/>
      <c r="D1093" s="1" t="str">
        <f t="shared" si="398"/>
        <v>偿还融资利息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-94.34</v>
      </c>
      <c r="O1093" s="1">
        <v>35049.31</v>
      </c>
      <c r="P1093" s="1">
        <v>0</v>
      </c>
    </row>
    <row r="1094" spans="1:16">
      <c r="A1094" s="1" t="str">
        <f t="shared" si="396"/>
        <v>20180214</v>
      </c>
      <c r="B1094" s="1"/>
      <c r="C1094" s="1"/>
      <c r="D1094" s="1" t="str">
        <f t="shared" si="398"/>
        <v>偿还融资利息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-90.74</v>
      </c>
      <c r="O1094" s="1">
        <v>34958.57</v>
      </c>
      <c r="P1094" s="1">
        <v>0</v>
      </c>
    </row>
    <row r="1095" spans="1:16">
      <c r="A1095" s="1" t="str">
        <f t="shared" si="396"/>
        <v>20180214</v>
      </c>
      <c r="B1095" s="1"/>
      <c r="C1095" s="1"/>
      <c r="D1095" s="1" t="str">
        <f t="shared" si="398"/>
        <v>偿还融资利息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-113.32</v>
      </c>
      <c r="O1095" s="1">
        <v>34845.25</v>
      </c>
      <c r="P1095" s="1">
        <v>0</v>
      </c>
    </row>
    <row r="1096" spans="1:16">
      <c r="A1096" s="1" t="str">
        <f t="shared" si="396"/>
        <v>20180214</v>
      </c>
      <c r="B1096" s="1"/>
      <c r="C1096" s="1"/>
      <c r="D1096" s="1" t="str">
        <f t="shared" si="398"/>
        <v>偿还融资利息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-92.3</v>
      </c>
      <c r="O1096" s="1">
        <v>34752.95</v>
      </c>
      <c r="P1096" s="1">
        <v>0</v>
      </c>
    </row>
    <row r="1097" spans="1:16">
      <c r="A1097" s="1" t="str">
        <f t="shared" si="396"/>
        <v>20180214</v>
      </c>
      <c r="B1097" s="1"/>
      <c r="C1097" s="1"/>
      <c r="D1097" s="1" t="str">
        <f t="shared" si="398"/>
        <v>偿还融资利息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-53.25</v>
      </c>
      <c r="O1097" s="1">
        <v>34699.7</v>
      </c>
      <c r="P1097" s="1">
        <v>0</v>
      </c>
    </row>
    <row r="1098" spans="1:16">
      <c r="A1098" s="1" t="str">
        <f>"20180222"</f>
        <v>20180222</v>
      </c>
      <c r="B1098" s="1" t="str">
        <f>"000601"</f>
        <v>000601</v>
      </c>
      <c r="C1098" s="1" t="str">
        <f>"韶能股份"</f>
        <v>韶能股份</v>
      </c>
      <c r="D1098" s="1" t="str">
        <f t="shared" ref="D1098:D1101" si="399">"担保品买入"</f>
        <v>担保品买入</v>
      </c>
      <c r="E1098" s="1">
        <v>6.52</v>
      </c>
      <c r="F1098" s="1">
        <v>3000</v>
      </c>
      <c r="G1098" s="1">
        <v>19560</v>
      </c>
      <c r="H1098" s="1">
        <v>6.06</v>
      </c>
      <c r="I1098" s="1">
        <v>4.33</v>
      </c>
      <c r="J1098" s="1">
        <v>0</v>
      </c>
      <c r="K1098" s="1">
        <v>0</v>
      </c>
      <c r="L1098" s="1">
        <v>0</v>
      </c>
      <c r="M1098" s="1">
        <v>0</v>
      </c>
      <c r="N1098" s="1">
        <v>-19566.06</v>
      </c>
      <c r="O1098" s="1">
        <v>15133.64</v>
      </c>
      <c r="P1098" s="1">
        <v>6000</v>
      </c>
    </row>
    <row r="1099" spans="1:16">
      <c r="A1099" s="1" t="str">
        <f>"20180227"</f>
        <v>20180227</v>
      </c>
      <c r="B1099" s="1" t="str">
        <f>"000768"</f>
        <v>000768</v>
      </c>
      <c r="C1099" s="1" t="str">
        <f>"中航飞机"</f>
        <v>中航飞机</v>
      </c>
      <c r="D1099" s="1" t="str">
        <f t="shared" si="399"/>
        <v>担保品买入</v>
      </c>
      <c r="E1099" s="1">
        <v>14.11</v>
      </c>
      <c r="F1099" s="1">
        <v>1000</v>
      </c>
      <c r="G1099" s="1">
        <v>14110</v>
      </c>
      <c r="H1099" s="1">
        <v>5</v>
      </c>
      <c r="I1099" s="1">
        <v>3.75</v>
      </c>
      <c r="J1099" s="1">
        <v>0</v>
      </c>
      <c r="K1099" s="1">
        <v>0</v>
      </c>
      <c r="L1099" s="1">
        <v>0</v>
      </c>
      <c r="M1099" s="1">
        <v>0</v>
      </c>
      <c r="N1099" s="1">
        <v>-14115</v>
      </c>
      <c r="O1099" s="1">
        <v>1018.64</v>
      </c>
      <c r="P1099" s="1">
        <v>1000</v>
      </c>
    </row>
    <row r="1100" spans="1:16">
      <c r="A1100" s="1" t="str">
        <f t="shared" ref="A1100:A1103" si="400">"20180228"</f>
        <v>20180228</v>
      </c>
      <c r="B1100" s="1" t="str">
        <f>"000768"</f>
        <v>000768</v>
      </c>
      <c r="C1100" s="1" t="str">
        <f>"中航飞机"</f>
        <v>中航飞机</v>
      </c>
      <c r="D1100" s="1" t="str">
        <f t="shared" ref="D1100:D1105" si="401">"担保品卖出"</f>
        <v>担保品卖出</v>
      </c>
      <c r="E1100" s="1">
        <v>14.56</v>
      </c>
      <c r="F1100" s="1">
        <v>1000</v>
      </c>
      <c r="G1100" s="1">
        <v>14560</v>
      </c>
      <c r="H1100" s="1">
        <v>5</v>
      </c>
      <c r="I1100" s="1">
        <v>3.71</v>
      </c>
      <c r="J1100" s="1">
        <v>14.55</v>
      </c>
      <c r="K1100" s="1">
        <v>0</v>
      </c>
      <c r="L1100" s="1">
        <v>0</v>
      </c>
      <c r="M1100" s="1">
        <v>0</v>
      </c>
      <c r="N1100" s="1">
        <v>14540.45</v>
      </c>
      <c r="O1100" s="1">
        <v>15559.09</v>
      </c>
      <c r="P1100" s="1">
        <v>0</v>
      </c>
    </row>
    <row r="1101" spans="1:16">
      <c r="A1101" s="1" t="str">
        <f t="shared" si="400"/>
        <v>20180228</v>
      </c>
      <c r="B1101" s="1" t="str">
        <f>"002419"</f>
        <v>002419</v>
      </c>
      <c r="C1101" s="1" t="str">
        <f>"天虹股份"</f>
        <v>天虹股份</v>
      </c>
      <c r="D1101" s="1" t="str">
        <f t="shared" si="399"/>
        <v>担保品买入</v>
      </c>
      <c r="E1101" s="1">
        <v>19.09</v>
      </c>
      <c r="F1101" s="1">
        <v>800</v>
      </c>
      <c r="G1101" s="1">
        <v>15272</v>
      </c>
      <c r="H1101" s="1">
        <v>5</v>
      </c>
      <c r="I1101" s="1">
        <v>3.64</v>
      </c>
      <c r="J1101" s="1">
        <v>0</v>
      </c>
      <c r="K1101" s="1">
        <v>0</v>
      </c>
      <c r="L1101" s="1">
        <v>0</v>
      </c>
      <c r="M1101" s="1">
        <v>0</v>
      </c>
      <c r="N1101" s="1">
        <v>-15277</v>
      </c>
      <c r="O1101" s="1">
        <v>282.09</v>
      </c>
      <c r="P1101" s="1">
        <v>800</v>
      </c>
    </row>
    <row r="1102" spans="1:16">
      <c r="A1102" s="1" t="str">
        <f t="shared" si="400"/>
        <v>20180228</v>
      </c>
      <c r="B1102" s="1"/>
      <c r="C1102" s="1"/>
      <c r="D1102" s="1" t="str">
        <f>"偿还融资负债本金"</f>
        <v>偿还融资负债本金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-197.37</v>
      </c>
      <c r="O1102" s="1">
        <v>82.09</v>
      </c>
      <c r="P1102" s="1">
        <v>0</v>
      </c>
    </row>
    <row r="1103" spans="1:16">
      <c r="A1103" s="1" t="str">
        <f t="shared" si="400"/>
        <v>20180228</v>
      </c>
      <c r="B1103" s="1"/>
      <c r="C1103" s="1"/>
      <c r="D1103" s="1" t="str">
        <f>"偿还融资利息"</f>
        <v>偿还融资利息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-2.63</v>
      </c>
      <c r="O1103" s="1">
        <v>279.46</v>
      </c>
      <c r="P1103" s="1">
        <v>0</v>
      </c>
    </row>
    <row r="1104" spans="1:16">
      <c r="A1104" s="1" t="str">
        <f>"20180301"</f>
        <v>20180301</v>
      </c>
      <c r="B1104" s="1" t="str">
        <f t="shared" ref="B1104:B1107" si="402">"000601"</f>
        <v>000601</v>
      </c>
      <c r="C1104" s="1" t="str">
        <f t="shared" ref="C1104:C1107" si="403">"韶能股份"</f>
        <v>韶能股份</v>
      </c>
      <c r="D1104" s="1" t="str">
        <f t="shared" si="401"/>
        <v>担保品卖出</v>
      </c>
      <c r="E1104" s="1">
        <v>6.92</v>
      </c>
      <c r="F1104" s="1">
        <v>3000</v>
      </c>
      <c r="G1104" s="1">
        <v>20760</v>
      </c>
      <c r="H1104" s="1">
        <v>6.44</v>
      </c>
      <c r="I1104" s="1">
        <v>4.59</v>
      </c>
      <c r="J1104" s="1">
        <v>20.76</v>
      </c>
      <c r="K1104" s="1">
        <v>0</v>
      </c>
      <c r="L1104" s="1">
        <v>0</v>
      </c>
      <c r="M1104" s="1">
        <v>0</v>
      </c>
      <c r="N1104" s="1">
        <v>20732.8</v>
      </c>
      <c r="O1104" s="1">
        <v>20814.89</v>
      </c>
      <c r="P1104" s="1">
        <v>3000</v>
      </c>
    </row>
    <row r="1105" spans="1:16">
      <c r="A1105" s="1" t="str">
        <f>"20180302"</f>
        <v>20180302</v>
      </c>
      <c r="B1105" s="1" t="str">
        <f>"002419"</f>
        <v>002419</v>
      </c>
      <c r="C1105" s="1" t="str">
        <f>"天虹股份"</f>
        <v>天虹股份</v>
      </c>
      <c r="D1105" s="1" t="str">
        <f t="shared" si="401"/>
        <v>担保品卖出</v>
      </c>
      <c r="E1105" s="1">
        <v>19.02</v>
      </c>
      <c r="F1105" s="1">
        <v>800</v>
      </c>
      <c r="G1105" s="1">
        <v>15216</v>
      </c>
      <c r="H1105" s="1">
        <v>5</v>
      </c>
      <c r="I1105" s="1">
        <v>3.66</v>
      </c>
      <c r="J1105" s="1">
        <v>15.22</v>
      </c>
      <c r="K1105" s="1">
        <v>0</v>
      </c>
      <c r="L1105" s="1">
        <v>0</v>
      </c>
      <c r="M1105" s="1">
        <v>0</v>
      </c>
      <c r="N1105" s="1">
        <v>15195.78</v>
      </c>
      <c r="O1105" s="1">
        <v>36010.67</v>
      </c>
      <c r="P1105" s="1">
        <v>0</v>
      </c>
    </row>
    <row r="1106" spans="1:16">
      <c r="A1106" s="1" t="str">
        <f>"20180306"</f>
        <v>20180306</v>
      </c>
      <c r="B1106" s="1" t="str">
        <f t="shared" si="402"/>
        <v>000601</v>
      </c>
      <c r="C1106" s="1" t="str">
        <f t="shared" si="403"/>
        <v>韶能股份</v>
      </c>
      <c r="D1106" s="1" t="str">
        <f>"担保品买入"</f>
        <v>担保品买入</v>
      </c>
      <c r="E1106" s="1">
        <v>6.75</v>
      </c>
      <c r="F1106" s="1">
        <v>1500</v>
      </c>
      <c r="G1106" s="1">
        <v>10125</v>
      </c>
      <c r="H1106" s="1">
        <v>5</v>
      </c>
      <c r="I1106" s="1">
        <v>4.12</v>
      </c>
      <c r="J1106" s="1">
        <v>0</v>
      </c>
      <c r="K1106" s="1">
        <v>0</v>
      </c>
      <c r="L1106" s="1">
        <v>0</v>
      </c>
      <c r="M1106" s="1">
        <v>0</v>
      </c>
      <c r="N1106" s="1">
        <v>-10130</v>
      </c>
      <c r="O1106" s="1">
        <v>25880.67</v>
      </c>
      <c r="P1106" s="1">
        <v>4500</v>
      </c>
    </row>
    <row r="1107" spans="1:16">
      <c r="A1107" s="1" t="str">
        <f>"20180308"</f>
        <v>20180308</v>
      </c>
      <c r="B1107" s="1" t="str">
        <f t="shared" si="402"/>
        <v>000601</v>
      </c>
      <c r="C1107" s="1" t="str">
        <f t="shared" si="403"/>
        <v>韶能股份</v>
      </c>
      <c r="D1107" s="1" t="str">
        <f>"担保品买入"</f>
        <v>担保品买入</v>
      </c>
      <c r="E1107" s="1">
        <v>6.81</v>
      </c>
      <c r="F1107" s="1">
        <v>1500</v>
      </c>
      <c r="G1107" s="1">
        <v>10215</v>
      </c>
      <c r="H1107" s="1">
        <v>5</v>
      </c>
      <c r="I1107" s="1">
        <v>4.1</v>
      </c>
      <c r="J1107" s="1">
        <v>0</v>
      </c>
      <c r="K1107" s="1">
        <v>0</v>
      </c>
      <c r="L1107" s="1">
        <v>0</v>
      </c>
      <c r="M1107" s="1">
        <v>0</v>
      </c>
      <c r="N1107" s="1">
        <v>-10220</v>
      </c>
      <c r="O1107" s="1">
        <v>15660.67</v>
      </c>
      <c r="P1107" s="1">
        <v>6000</v>
      </c>
    </row>
    <row r="1108" spans="1:16">
      <c r="A1108" s="1" t="str">
        <f t="shared" ref="A1108:A1114" si="404">"20180320"</f>
        <v>20180320</v>
      </c>
      <c r="B1108" s="1"/>
      <c r="C1108" s="1"/>
      <c r="D1108" s="1" t="str">
        <f>"利息归本"</f>
        <v>利息归本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12.76</v>
      </c>
      <c r="O1108" s="1">
        <v>15673.43</v>
      </c>
      <c r="P1108" s="1">
        <v>0</v>
      </c>
    </row>
    <row r="1109" spans="1:16">
      <c r="A1109" s="1" t="str">
        <f t="shared" si="404"/>
        <v>20180320</v>
      </c>
      <c r="B1109" s="1"/>
      <c r="C1109" s="1"/>
      <c r="D1109" s="1" t="str">
        <f t="shared" ref="D1109:D1114" si="405">"偿还融资利息"</f>
        <v>偿还融资利息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-3.33</v>
      </c>
      <c r="O1109" s="1">
        <v>15670.1</v>
      </c>
      <c r="P1109" s="1">
        <v>0</v>
      </c>
    </row>
    <row r="1110" spans="1:16">
      <c r="A1110" s="1" t="str">
        <f t="shared" si="404"/>
        <v>20180320</v>
      </c>
      <c r="B1110" s="1"/>
      <c r="C1110" s="1"/>
      <c r="D1110" s="1" t="str">
        <f t="shared" si="405"/>
        <v>偿还融资利息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-123.36</v>
      </c>
      <c r="O1110" s="1">
        <v>15546.74</v>
      </c>
      <c r="P1110" s="1">
        <v>0</v>
      </c>
    </row>
    <row r="1111" spans="1:16">
      <c r="A1111" s="1" t="str">
        <f t="shared" si="404"/>
        <v>20180320</v>
      </c>
      <c r="B1111" s="1"/>
      <c r="C1111" s="1"/>
      <c r="D1111" s="1" t="str">
        <f t="shared" si="405"/>
        <v>偿还融资利息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-118.65</v>
      </c>
      <c r="O1111" s="1">
        <v>15428.09</v>
      </c>
      <c r="P1111" s="1">
        <v>0</v>
      </c>
    </row>
    <row r="1112" spans="1:16">
      <c r="A1112" s="1" t="str">
        <f t="shared" si="404"/>
        <v>20180320</v>
      </c>
      <c r="B1112" s="1"/>
      <c r="C1112" s="1"/>
      <c r="D1112" s="1" t="str">
        <f t="shared" si="405"/>
        <v>偿还融资利息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-148.18</v>
      </c>
      <c r="O1112" s="1">
        <v>15279.91</v>
      </c>
      <c r="P1112" s="1">
        <v>0</v>
      </c>
    </row>
    <row r="1113" spans="1:16">
      <c r="A1113" s="1" t="str">
        <f t="shared" si="404"/>
        <v>20180320</v>
      </c>
      <c r="B1113" s="1"/>
      <c r="C1113" s="1"/>
      <c r="D1113" s="1" t="str">
        <f t="shared" si="405"/>
        <v>偿还融资利息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-120.7</v>
      </c>
      <c r="O1113" s="1">
        <v>15159.21</v>
      </c>
      <c r="P1113" s="1">
        <v>0</v>
      </c>
    </row>
    <row r="1114" spans="1:16">
      <c r="A1114" s="1" t="str">
        <f t="shared" si="404"/>
        <v>20180320</v>
      </c>
      <c r="B1114" s="1"/>
      <c r="C1114" s="1"/>
      <c r="D1114" s="1" t="str">
        <f t="shared" si="405"/>
        <v>偿还融资利息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-120.7</v>
      </c>
      <c r="O1114" s="1">
        <v>15038.51</v>
      </c>
      <c r="P1114" s="1">
        <v>0</v>
      </c>
    </row>
    <row r="1115" spans="1:16">
      <c r="A1115" s="1" t="str">
        <f>"20180402"</f>
        <v>20180402</v>
      </c>
      <c r="B1115" s="1" t="str">
        <f>"002183"</f>
        <v>002183</v>
      </c>
      <c r="C1115" s="1" t="str">
        <f>"怡 亚 通"</f>
        <v>怡 亚 通</v>
      </c>
      <c r="D1115" s="1" t="str">
        <f>"融资买入"</f>
        <v>融资买入</v>
      </c>
      <c r="E1115" s="1">
        <v>7.37</v>
      </c>
      <c r="F1115" s="1">
        <v>2500</v>
      </c>
      <c r="G1115" s="1">
        <v>18425</v>
      </c>
      <c r="H1115" s="1">
        <v>9.21</v>
      </c>
      <c r="I1115" s="1">
        <v>7.58</v>
      </c>
      <c r="J1115" s="1">
        <v>0</v>
      </c>
      <c r="K1115" s="1">
        <v>0</v>
      </c>
      <c r="L1115" s="1">
        <v>0</v>
      </c>
      <c r="M1115" s="1">
        <v>0</v>
      </c>
      <c r="N1115" s="1">
        <v>-18434.21</v>
      </c>
      <c r="O1115" s="1">
        <v>-3395.7</v>
      </c>
      <c r="P1115" s="1">
        <v>5000</v>
      </c>
    </row>
    <row r="1116" spans="1:16">
      <c r="A1116" s="1" t="str">
        <f>"20180402"</f>
        <v>20180402</v>
      </c>
      <c r="B1116" s="1"/>
      <c r="C1116" s="1"/>
      <c r="D1116" s="1" t="str">
        <f>"融资借入"</f>
        <v>融资借入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18434.21</v>
      </c>
      <c r="O1116" s="1">
        <v>15038.51</v>
      </c>
      <c r="P1116" s="1">
        <v>0</v>
      </c>
    </row>
    <row r="1117" spans="1:16">
      <c r="A1117" s="1" t="str">
        <f t="shared" ref="A1117:A1120" si="406">"20180413"</f>
        <v>20180413</v>
      </c>
      <c r="B1117" s="1"/>
      <c r="C1117" s="1"/>
      <c r="D1117" s="1" t="str">
        <f t="shared" ref="D1117:D1121" si="407">"偿还融资负债本金"</f>
        <v>偿还融资负债本金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-678.35</v>
      </c>
      <c r="O1117" s="1">
        <v>14356.51</v>
      </c>
      <c r="P1117" s="1">
        <v>0</v>
      </c>
    </row>
    <row r="1118" spans="1:16">
      <c r="A1118" s="1" t="str">
        <f t="shared" si="406"/>
        <v>20180413</v>
      </c>
      <c r="B1118" s="1"/>
      <c r="C1118" s="1"/>
      <c r="D1118" s="1" t="str">
        <f t="shared" ref="D1118:D1134" si="408">"偿还融资利息"</f>
        <v>偿还融资利息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-3.65</v>
      </c>
      <c r="O1118" s="1">
        <v>15034.86</v>
      </c>
      <c r="P1118" s="1">
        <v>0</v>
      </c>
    </row>
    <row r="1119" spans="1:16">
      <c r="A1119" s="1" t="str">
        <f t="shared" si="406"/>
        <v>20180413</v>
      </c>
      <c r="B1119" s="1"/>
      <c r="C1119" s="1"/>
      <c r="D1119" s="1" t="str">
        <f t="shared" si="407"/>
        <v>偿还融资负债本金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-34.54</v>
      </c>
      <c r="O1119" s="1">
        <v>14238.51</v>
      </c>
      <c r="P1119" s="1">
        <v>0</v>
      </c>
    </row>
    <row r="1120" spans="1:16">
      <c r="A1120" s="1" t="str">
        <f t="shared" si="406"/>
        <v>20180413</v>
      </c>
      <c r="B1120" s="1"/>
      <c r="C1120" s="1"/>
      <c r="D1120" s="1" t="str">
        <f t="shared" si="408"/>
        <v>偿还融资利息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-83.46</v>
      </c>
      <c r="O1120" s="1">
        <v>14273.05</v>
      </c>
      <c r="P1120" s="1">
        <v>0</v>
      </c>
    </row>
    <row r="1121" spans="1:16">
      <c r="A1121" s="1" t="str">
        <f t="shared" ref="A1121:A1128" si="409">"20180420"</f>
        <v>20180420</v>
      </c>
      <c r="B1121" s="1"/>
      <c r="C1121" s="1"/>
      <c r="D1121" s="1" t="str">
        <f t="shared" si="407"/>
        <v>偿还融资负债本金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-12974.66</v>
      </c>
      <c r="O1121" s="1">
        <v>1238.51</v>
      </c>
      <c r="P1121" s="1">
        <v>0</v>
      </c>
    </row>
    <row r="1122" spans="1:16">
      <c r="A1122" s="1" t="str">
        <f t="shared" si="409"/>
        <v>20180420</v>
      </c>
      <c r="B1122" s="1"/>
      <c r="C1122" s="1"/>
      <c r="D1122" s="1" t="str">
        <f t="shared" si="408"/>
        <v>偿还融资利息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-25.34</v>
      </c>
      <c r="O1122" s="1">
        <v>14213.17</v>
      </c>
      <c r="P1122" s="1">
        <v>0</v>
      </c>
    </row>
    <row r="1123" spans="1:16">
      <c r="A1123" s="1" t="str">
        <f t="shared" si="409"/>
        <v>20180420</v>
      </c>
      <c r="B1123" s="1"/>
      <c r="C1123" s="1"/>
      <c r="D1123" s="1" t="str">
        <f t="shared" si="408"/>
        <v>偿还融资利息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-0.61</v>
      </c>
      <c r="O1123" s="1">
        <v>1237.9</v>
      </c>
      <c r="P1123" s="1">
        <v>0</v>
      </c>
    </row>
    <row r="1124" spans="1:16">
      <c r="A1124" s="1" t="str">
        <f t="shared" si="409"/>
        <v>20180420</v>
      </c>
      <c r="B1124" s="1"/>
      <c r="C1124" s="1"/>
      <c r="D1124" s="1" t="str">
        <f t="shared" si="408"/>
        <v>偿还融资利息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-108.18</v>
      </c>
      <c r="O1124" s="1">
        <v>1129.72</v>
      </c>
      <c r="P1124" s="1">
        <v>0</v>
      </c>
    </row>
    <row r="1125" spans="1:16">
      <c r="A1125" s="1" t="str">
        <f t="shared" si="409"/>
        <v>20180420</v>
      </c>
      <c r="B1125" s="1"/>
      <c r="C1125" s="1"/>
      <c r="D1125" s="1" t="str">
        <f t="shared" si="408"/>
        <v>偿还融资利息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-135.12</v>
      </c>
      <c r="O1125" s="1">
        <v>994.6</v>
      </c>
      <c r="P1125" s="1">
        <v>0</v>
      </c>
    </row>
    <row r="1126" spans="1:16">
      <c r="A1126" s="1" t="str">
        <f t="shared" si="409"/>
        <v>20180420</v>
      </c>
      <c r="B1126" s="1"/>
      <c r="C1126" s="1"/>
      <c r="D1126" s="1" t="str">
        <f t="shared" si="408"/>
        <v>偿还融资利息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-110.05</v>
      </c>
      <c r="O1126" s="1">
        <v>884.55</v>
      </c>
      <c r="P1126" s="1">
        <v>0</v>
      </c>
    </row>
    <row r="1127" spans="1:16">
      <c r="A1127" s="1" t="str">
        <f t="shared" si="409"/>
        <v>20180420</v>
      </c>
      <c r="B1127" s="1"/>
      <c r="C1127" s="1"/>
      <c r="D1127" s="1" t="str">
        <f t="shared" si="408"/>
        <v>偿还融资利息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-110.05</v>
      </c>
      <c r="O1127" s="1">
        <v>774.5</v>
      </c>
      <c r="P1127" s="1">
        <v>0</v>
      </c>
    </row>
    <row r="1128" spans="1:16">
      <c r="A1128" s="1" t="str">
        <f t="shared" si="409"/>
        <v>20180420</v>
      </c>
      <c r="B1128" s="1"/>
      <c r="C1128" s="1"/>
      <c r="D1128" s="1" t="str">
        <f t="shared" si="408"/>
        <v>偿还融资利息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-81.29</v>
      </c>
      <c r="O1128" s="1">
        <v>693.21</v>
      </c>
      <c r="P1128" s="1">
        <v>0</v>
      </c>
    </row>
    <row r="1129" spans="1:16">
      <c r="A1129" s="1" t="str">
        <f t="shared" ref="A1129:A1134" si="410">"20180518"</f>
        <v>20180518</v>
      </c>
      <c r="B1129" s="1"/>
      <c r="C1129" s="1"/>
      <c r="D1129" s="1" t="str">
        <f t="shared" si="408"/>
        <v>偿还融资利息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-17.08</v>
      </c>
      <c r="O1129" s="1">
        <v>676.13</v>
      </c>
      <c r="P1129" s="1">
        <v>0</v>
      </c>
    </row>
    <row r="1130" spans="1:16">
      <c r="A1130" s="1" t="str">
        <f t="shared" si="410"/>
        <v>20180518</v>
      </c>
      <c r="B1130" s="1"/>
      <c r="C1130" s="1"/>
      <c r="D1130" s="1" t="str">
        <f t="shared" si="408"/>
        <v>偿还融资利息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-97.71</v>
      </c>
      <c r="O1130" s="1">
        <v>578.42</v>
      </c>
      <c r="P1130" s="1">
        <v>0</v>
      </c>
    </row>
    <row r="1131" spans="1:16">
      <c r="A1131" s="1" t="str">
        <f t="shared" si="410"/>
        <v>20180518</v>
      </c>
      <c r="B1131" s="1"/>
      <c r="C1131" s="1"/>
      <c r="D1131" s="1" t="str">
        <f t="shared" si="408"/>
        <v>偿还融资利息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-122.04</v>
      </c>
      <c r="O1131" s="1">
        <v>456.38</v>
      </c>
      <c r="P1131" s="1">
        <v>0</v>
      </c>
    </row>
    <row r="1132" spans="1:16">
      <c r="A1132" s="1" t="str">
        <f t="shared" si="410"/>
        <v>20180518</v>
      </c>
      <c r="B1132" s="1"/>
      <c r="C1132" s="1"/>
      <c r="D1132" s="1" t="str">
        <f t="shared" si="408"/>
        <v>偿还融资利息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-99.4</v>
      </c>
      <c r="O1132" s="1">
        <v>356.98</v>
      </c>
      <c r="P1132" s="1">
        <v>0</v>
      </c>
    </row>
    <row r="1133" spans="1:16">
      <c r="A1133" s="1" t="str">
        <f t="shared" si="410"/>
        <v>20180518</v>
      </c>
      <c r="B1133" s="1"/>
      <c r="C1133" s="1"/>
      <c r="D1133" s="1" t="str">
        <f t="shared" si="408"/>
        <v>偿还融资利息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-99.4</v>
      </c>
      <c r="O1133" s="1">
        <v>257.58</v>
      </c>
      <c r="P1133" s="1">
        <v>0</v>
      </c>
    </row>
    <row r="1134" spans="1:16">
      <c r="A1134" s="1" t="str">
        <f t="shared" si="410"/>
        <v>20180518</v>
      </c>
      <c r="B1134" s="1"/>
      <c r="C1134" s="1"/>
      <c r="D1134" s="1" t="str">
        <f t="shared" si="408"/>
        <v>偿还融资利息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-119.79</v>
      </c>
      <c r="O1134" s="1">
        <v>137.79</v>
      </c>
      <c r="P1134" s="1">
        <v>0</v>
      </c>
    </row>
    <row r="1135" spans="1:16">
      <c r="A1135" s="1" t="str">
        <f>"20180605"</f>
        <v>20180605</v>
      </c>
      <c r="B1135" s="1" t="str">
        <f>"000768"</f>
        <v>000768</v>
      </c>
      <c r="C1135" s="1" t="str">
        <f>"中航飞机"</f>
        <v>中航飞机</v>
      </c>
      <c r="D1135" s="1" t="str">
        <f>"融资买入"</f>
        <v>融资买入</v>
      </c>
      <c r="E1135" s="1">
        <v>15.5</v>
      </c>
      <c r="F1135" s="1">
        <v>500</v>
      </c>
      <c r="G1135" s="1">
        <v>7750</v>
      </c>
      <c r="H1135" s="1">
        <v>5</v>
      </c>
      <c r="I1135" s="1">
        <v>4.3</v>
      </c>
      <c r="J1135" s="1">
        <v>0</v>
      </c>
      <c r="K1135" s="1">
        <v>0</v>
      </c>
      <c r="L1135" s="1">
        <v>0</v>
      </c>
      <c r="M1135" s="1">
        <v>0</v>
      </c>
      <c r="N1135" s="1">
        <v>-7755</v>
      </c>
      <c r="O1135" s="1">
        <v>-7617.21</v>
      </c>
      <c r="P1135" s="1">
        <v>500</v>
      </c>
    </row>
    <row r="1136" spans="1:16">
      <c r="A1136" s="1" t="str">
        <f>"20180605"</f>
        <v>20180605</v>
      </c>
      <c r="B1136" s="1"/>
      <c r="C1136" s="1"/>
      <c r="D1136" s="1" t="str">
        <f>"融资借入"</f>
        <v>融资借入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7755</v>
      </c>
      <c r="O1136" s="1">
        <v>137.79</v>
      </c>
      <c r="P1136" s="1">
        <v>0</v>
      </c>
    </row>
    <row r="1137" spans="1:16">
      <c r="A1137" s="1" t="str">
        <f t="shared" ref="A1137:A1139" si="411">"20180606"</f>
        <v>20180606</v>
      </c>
      <c r="B1137" s="1" t="str">
        <f>"000768"</f>
        <v>000768</v>
      </c>
      <c r="C1137" s="1" t="str">
        <f>"中航飞机"</f>
        <v>中航飞机</v>
      </c>
      <c r="D1137" s="1" t="str">
        <f>"卖券还款"</f>
        <v>卖券还款</v>
      </c>
      <c r="E1137" s="1">
        <v>16.15</v>
      </c>
      <c r="F1137" s="1">
        <v>500</v>
      </c>
      <c r="G1137" s="1">
        <v>8075</v>
      </c>
      <c r="H1137" s="1">
        <v>5</v>
      </c>
      <c r="I1137" s="1">
        <v>4.29</v>
      </c>
      <c r="J1137" s="1">
        <v>8.08</v>
      </c>
      <c r="K1137" s="1">
        <v>0</v>
      </c>
      <c r="L1137" s="1">
        <v>0</v>
      </c>
      <c r="M1137" s="1">
        <v>0</v>
      </c>
      <c r="N1137" s="1">
        <v>8061.92</v>
      </c>
      <c r="O1137" s="1">
        <v>8199.71</v>
      </c>
      <c r="P1137" s="1">
        <v>0</v>
      </c>
    </row>
    <row r="1138" spans="1:16">
      <c r="A1138" s="1" t="str">
        <f t="shared" si="411"/>
        <v>20180606</v>
      </c>
      <c r="B1138" s="1"/>
      <c r="C1138" s="1"/>
      <c r="D1138" s="1" t="str">
        <f>"偿还融资利息"</f>
        <v>偿还融资利息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-78.45</v>
      </c>
      <c r="O1138" s="1">
        <v>8121.26</v>
      </c>
      <c r="P1138" s="1">
        <v>0</v>
      </c>
    </row>
    <row r="1139" spans="1:16">
      <c r="A1139" s="1" t="str">
        <f t="shared" si="411"/>
        <v>20180606</v>
      </c>
      <c r="B1139" s="1"/>
      <c r="C1139" s="1"/>
      <c r="D1139" s="1" t="str">
        <f>"偿还融资负债本金"</f>
        <v>偿还融资负债本金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-7964.24</v>
      </c>
      <c r="O1139" s="1">
        <v>157.02</v>
      </c>
      <c r="P1139" s="1">
        <v>0</v>
      </c>
    </row>
    <row r="1140" spans="1:16">
      <c r="A1140" s="1" t="str">
        <f t="shared" ref="A1140:A1142" si="412">"20180608"</f>
        <v>20180608</v>
      </c>
      <c r="B1140" s="1" t="str">
        <f>"000543"</f>
        <v>000543</v>
      </c>
      <c r="C1140" s="1" t="str">
        <f>"皖能电力"</f>
        <v>皖能电力</v>
      </c>
      <c r="D1140" s="1" t="str">
        <f>"红利入账"</f>
        <v>红利入账</v>
      </c>
      <c r="E1140" s="1">
        <v>0</v>
      </c>
      <c r="F1140" s="1">
        <v>0</v>
      </c>
      <c r="G1140" s="1">
        <v>150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150</v>
      </c>
      <c r="O1140" s="1">
        <v>307.02</v>
      </c>
      <c r="P1140" s="1">
        <v>0</v>
      </c>
    </row>
    <row r="1141" spans="1:16">
      <c r="A1141" s="1" t="str">
        <f t="shared" si="412"/>
        <v>20180608</v>
      </c>
      <c r="B1141" s="1" t="str">
        <f>"000768"</f>
        <v>000768</v>
      </c>
      <c r="C1141" s="1" t="str">
        <f>"中航飞机"</f>
        <v>中航飞机</v>
      </c>
      <c r="D1141" s="1" t="str">
        <f>"融资买入"</f>
        <v>融资买入</v>
      </c>
      <c r="E1141" s="1">
        <v>15.58</v>
      </c>
      <c r="F1141" s="1">
        <v>500</v>
      </c>
      <c r="G1141" s="1">
        <v>7790</v>
      </c>
      <c r="H1141" s="1">
        <v>5</v>
      </c>
      <c r="I1141" s="1">
        <v>4.3</v>
      </c>
      <c r="J1141" s="1">
        <v>0</v>
      </c>
      <c r="K1141" s="1">
        <v>0</v>
      </c>
      <c r="L1141" s="1">
        <v>0</v>
      </c>
      <c r="M1141" s="1">
        <v>0</v>
      </c>
      <c r="N1141" s="1">
        <v>-7795</v>
      </c>
      <c r="O1141" s="1">
        <v>-7487.98</v>
      </c>
      <c r="P1141" s="1">
        <v>500</v>
      </c>
    </row>
    <row r="1142" spans="1:16">
      <c r="A1142" s="1" t="str">
        <f t="shared" si="412"/>
        <v>20180608</v>
      </c>
      <c r="B1142" s="1"/>
      <c r="C1142" s="1"/>
      <c r="D1142" s="1" t="str">
        <f>"融资借入"</f>
        <v>融资借入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7795</v>
      </c>
      <c r="O1142" s="1">
        <v>307.02</v>
      </c>
      <c r="P1142" s="1">
        <v>0</v>
      </c>
    </row>
    <row r="1143" spans="1:16">
      <c r="A1143" s="1" t="str">
        <f>"20180611"</f>
        <v>20180611</v>
      </c>
      <c r="B1143" s="1"/>
      <c r="C1143" s="1"/>
      <c r="D1143" s="1" t="str">
        <f>"偿还融资负债本金"</f>
        <v>偿还融资负债本金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-187.45</v>
      </c>
      <c r="O1143" s="1">
        <v>107.02</v>
      </c>
      <c r="P1143" s="1">
        <v>0</v>
      </c>
    </row>
    <row r="1144" spans="1:16">
      <c r="A1144" s="1" t="str">
        <f>"20180611"</f>
        <v>20180611</v>
      </c>
      <c r="B1144" s="1"/>
      <c r="C1144" s="1"/>
      <c r="D1144" s="1" t="str">
        <f>"偿还融资利息"</f>
        <v>偿还融资利息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-12.55</v>
      </c>
      <c r="O1144" s="1">
        <v>294.47</v>
      </c>
      <c r="P1144" s="1">
        <v>0</v>
      </c>
    </row>
    <row r="1145" spans="1:16">
      <c r="A1145" s="1" t="str">
        <f>"20180613"</f>
        <v>20180613</v>
      </c>
      <c r="B1145" s="1" t="str">
        <f>"000667"</f>
        <v>000667</v>
      </c>
      <c r="C1145" s="1" t="str">
        <f>"美好置业"</f>
        <v>美好置业</v>
      </c>
      <c r="D1145" s="1" t="str">
        <f>"担保品卖出"</f>
        <v>担保品卖出</v>
      </c>
      <c r="E1145" s="1">
        <v>2.32</v>
      </c>
      <c r="F1145" s="1">
        <v>7000</v>
      </c>
      <c r="G1145" s="1">
        <v>16240</v>
      </c>
      <c r="H1145" s="1">
        <v>5.03</v>
      </c>
      <c r="I1145" s="1">
        <v>3.6</v>
      </c>
      <c r="J1145" s="1">
        <v>16.24</v>
      </c>
      <c r="K1145" s="1">
        <v>0</v>
      </c>
      <c r="L1145" s="1">
        <v>0</v>
      </c>
      <c r="M1145" s="1">
        <v>0</v>
      </c>
      <c r="N1145" s="1">
        <v>16218.73</v>
      </c>
      <c r="O1145" s="1">
        <v>16325.75</v>
      </c>
      <c r="P1145" s="1">
        <v>0</v>
      </c>
    </row>
    <row r="1146" spans="1:16">
      <c r="A1146" s="1" t="str">
        <f>"20180613"</f>
        <v>20180613</v>
      </c>
      <c r="B1146" s="1" t="str">
        <f>"000050"</f>
        <v>000050</v>
      </c>
      <c r="C1146" s="1" t="str">
        <f>"深天马Ａ"</f>
        <v>深天马Ａ</v>
      </c>
      <c r="D1146" s="1" t="str">
        <f>"担保品买入"</f>
        <v>担保品买入</v>
      </c>
      <c r="E1146" s="1">
        <v>16.8</v>
      </c>
      <c r="F1146" s="1">
        <v>900</v>
      </c>
      <c r="G1146" s="1">
        <v>15120</v>
      </c>
      <c r="H1146" s="1">
        <v>5</v>
      </c>
      <c r="I1146" s="1">
        <v>3.66</v>
      </c>
      <c r="J1146" s="1">
        <v>0</v>
      </c>
      <c r="K1146" s="1">
        <v>0</v>
      </c>
      <c r="L1146" s="1">
        <v>0</v>
      </c>
      <c r="M1146" s="1">
        <v>0</v>
      </c>
      <c r="N1146" s="1">
        <v>-15125</v>
      </c>
      <c r="O1146" s="1">
        <v>1200.75</v>
      </c>
      <c r="P1146" s="1">
        <v>900</v>
      </c>
    </row>
    <row r="1147" spans="1:16">
      <c r="A1147" s="1" t="str">
        <f t="shared" ref="A1147:A1149" si="413">"20180615"</f>
        <v>20180615</v>
      </c>
      <c r="B1147" s="1" t="str">
        <f>"000768"</f>
        <v>000768</v>
      </c>
      <c r="C1147" s="1" t="str">
        <f>"中航飞机"</f>
        <v>中航飞机</v>
      </c>
      <c r="D1147" s="1" t="str">
        <f>"卖券还款"</f>
        <v>卖券还款</v>
      </c>
      <c r="E1147" s="1">
        <v>14.88</v>
      </c>
      <c r="F1147" s="1">
        <v>500</v>
      </c>
      <c r="G1147" s="1">
        <v>7440</v>
      </c>
      <c r="H1147" s="1">
        <v>5</v>
      </c>
      <c r="I1147" s="1">
        <v>4.34</v>
      </c>
      <c r="J1147" s="1">
        <v>7.44</v>
      </c>
      <c r="K1147" s="1">
        <v>0</v>
      </c>
      <c r="L1147" s="1">
        <v>0</v>
      </c>
      <c r="M1147" s="1">
        <v>0</v>
      </c>
      <c r="N1147" s="1">
        <v>7427.56</v>
      </c>
      <c r="O1147" s="1">
        <v>8628.31</v>
      </c>
      <c r="P1147" s="1">
        <v>0</v>
      </c>
    </row>
    <row r="1148" spans="1:16">
      <c r="A1148" s="1" t="str">
        <f t="shared" si="413"/>
        <v>20180615</v>
      </c>
      <c r="B1148" s="1"/>
      <c r="C1148" s="1"/>
      <c r="D1148" s="1" t="str">
        <f t="shared" ref="D1148:D1158" si="414">"偿还融资利息"</f>
        <v>偿还融资利息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-9.88</v>
      </c>
      <c r="O1148" s="1">
        <v>8618.43</v>
      </c>
      <c r="P1148" s="1">
        <v>0</v>
      </c>
    </row>
    <row r="1149" spans="1:16">
      <c r="A1149" s="1" t="str">
        <f t="shared" si="413"/>
        <v>20180615</v>
      </c>
      <c r="B1149" s="1"/>
      <c r="C1149" s="1"/>
      <c r="D1149" s="1" t="str">
        <f>"偿还融资负债本金"</f>
        <v>偿还融资负债本金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-7400.36</v>
      </c>
      <c r="O1149" s="1">
        <v>1218.07</v>
      </c>
      <c r="P1149" s="1">
        <v>0</v>
      </c>
    </row>
    <row r="1150" spans="1:16">
      <c r="A1150" s="1" t="str">
        <f t="shared" ref="A1150:A1158" si="415">"20180620"</f>
        <v>20180620</v>
      </c>
      <c r="B1150" s="1"/>
      <c r="C1150" s="1"/>
      <c r="D1150" s="1" t="str">
        <f>"利息归本"</f>
        <v>利息归本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4.63</v>
      </c>
      <c r="O1150" s="1">
        <v>1222.7</v>
      </c>
      <c r="P1150" s="1">
        <v>0</v>
      </c>
    </row>
    <row r="1151" spans="1:16">
      <c r="A1151" s="1" t="str">
        <f t="shared" si="415"/>
        <v>20180620</v>
      </c>
      <c r="B1151" s="1"/>
      <c r="C1151" s="1"/>
      <c r="D1151" s="1" t="str">
        <f t="shared" si="414"/>
        <v>偿还融资利息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-4.5</v>
      </c>
      <c r="O1151" s="1">
        <v>1218.2</v>
      </c>
      <c r="P1151" s="1">
        <v>0</v>
      </c>
    </row>
    <row r="1152" spans="1:16">
      <c r="A1152" s="1" t="str">
        <f t="shared" si="415"/>
        <v>20180620</v>
      </c>
      <c r="B1152" s="1"/>
      <c r="C1152" s="1"/>
      <c r="D1152" s="1" t="str">
        <f t="shared" si="414"/>
        <v>偿还融资利息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-117.15</v>
      </c>
      <c r="O1152" s="1">
        <v>1101.05</v>
      </c>
      <c r="P1152" s="1">
        <v>0</v>
      </c>
    </row>
    <row r="1153" spans="1:16">
      <c r="A1153" s="1" t="str">
        <f t="shared" si="415"/>
        <v>20180620</v>
      </c>
      <c r="B1153" s="1"/>
      <c r="C1153" s="1"/>
      <c r="D1153" s="1" t="str">
        <f t="shared" si="414"/>
        <v>偿还融资利息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-117.15</v>
      </c>
      <c r="O1153" s="1">
        <v>983.9</v>
      </c>
      <c r="P1153" s="1">
        <v>0</v>
      </c>
    </row>
    <row r="1154" spans="1:16">
      <c r="A1154" s="1" t="str">
        <f t="shared" si="415"/>
        <v>20180620</v>
      </c>
      <c r="B1154" s="1"/>
      <c r="C1154" s="1"/>
      <c r="D1154" s="1" t="str">
        <f t="shared" si="414"/>
        <v>偿还融资利息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-141.19</v>
      </c>
      <c r="O1154" s="1">
        <v>842.71</v>
      </c>
      <c r="P1154" s="1">
        <v>0</v>
      </c>
    </row>
    <row r="1155" spans="1:16">
      <c r="A1155" s="1" t="str">
        <f t="shared" si="415"/>
        <v>20180620</v>
      </c>
      <c r="B1155" s="1"/>
      <c r="C1155" s="1"/>
      <c r="D1155" s="1" t="str">
        <f t="shared" si="414"/>
        <v>偿还融资利息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-20.13</v>
      </c>
      <c r="O1155" s="1">
        <v>822.58</v>
      </c>
      <c r="P1155" s="1">
        <v>0</v>
      </c>
    </row>
    <row r="1156" spans="1:16">
      <c r="A1156" s="1" t="str">
        <f t="shared" si="415"/>
        <v>20180620</v>
      </c>
      <c r="B1156" s="1"/>
      <c r="C1156" s="1"/>
      <c r="D1156" s="1" t="str">
        <f t="shared" si="414"/>
        <v>偿还融资利息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-28.8</v>
      </c>
      <c r="O1156" s="1">
        <v>793.78</v>
      </c>
      <c r="P1156" s="1">
        <v>0</v>
      </c>
    </row>
    <row r="1157" spans="1:16">
      <c r="A1157" s="1" t="str">
        <f t="shared" si="415"/>
        <v>20180620</v>
      </c>
      <c r="B1157" s="1"/>
      <c r="C1157" s="1"/>
      <c r="D1157" s="1" t="str">
        <f t="shared" si="414"/>
        <v>偿还融资利息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-23.52</v>
      </c>
      <c r="O1157" s="1">
        <v>770.26</v>
      </c>
      <c r="P1157" s="1">
        <v>0</v>
      </c>
    </row>
    <row r="1158" spans="1:16">
      <c r="A1158" s="1" t="str">
        <f t="shared" si="415"/>
        <v>20180620</v>
      </c>
      <c r="B1158" s="1"/>
      <c r="C1158" s="1"/>
      <c r="D1158" s="1" t="str">
        <f t="shared" si="414"/>
        <v>偿还融资利息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-115.37</v>
      </c>
      <c r="O1158" s="1">
        <v>654.89</v>
      </c>
      <c r="P1158" s="1">
        <v>0</v>
      </c>
    </row>
    <row r="1159" spans="1:16">
      <c r="A1159" s="1" t="str">
        <f>"20180702"</f>
        <v>20180702</v>
      </c>
      <c r="B1159" s="1" t="str">
        <f>"002183"</f>
        <v>002183</v>
      </c>
      <c r="C1159" s="1" t="str">
        <f>"怡 亚 通"</f>
        <v>怡 亚 通</v>
      </c>
      <c r="D1159" s="1" t="str">
        <f>"红利入账"</f>
        <v>红利入账</v>
      </c>
      <c r="E1159" s="1">
        <v>0</v>
      </c>
      <c r="F1159" s="1">
        <v>0</v>
      </c>
      <c r="G1159" s="1">
        <v>290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290</v>
      </c>
      <c r="O1159" s="1">
        <v>944.89</v>
      </c>
      <c r="P1159" s="1">
        <v>0</v>
      </c>
    </row>
    <row r="1160" spans="1:16">
      <c r="A1160" s="1" t="str">
        <f t="shared" ref="A1160:A1167" si="416">"20180720"</f>
        <v>20180720</v>
      </c>
      <c r="B1160" s="1"/>
      <c r="C1160" s="1"/>
      <c r="D1160" s="1" t="str">
        <f t="shared" ref="D1160:D1167" si="417">"偿还融资利息"</f>
        <v>偿还融资利息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-128.36</v>
      </c>
      <c r="O1160" s="1">
        <v>816.53</v>
      </c>
      <c r="P1160" s="1">
        <v>0</v>
      </c>
    </row>
    <row r="1161" spans="1:16">
      <c r="A1161" s="1" t="str">
        <f t="shared" si="416"/>
        <v>20180720</v>
      </c>
      <c r="B1161" s="1"/>
      <c r="C1161" s="1"/>
      <c r="D1161" s="1" t="str">
        <f t="shared" si="417"/>
        <v>偿还融资利息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-18.3</v>
      </c>
      <c r="O1161" s="1">
        <v>798.23</v>
      </c>
      <c r="P1161" s="1">
        <v>0</v>
      </c>
    </row>
    <row r="1162" spans="1:16">
      <c r="A1162" s="1" t="str">
        <f t="shared" si="416"/>
        <v>20180720</v>
      </c>
      <c r="B1162" s="1"/>
      <c r="C1162" s="1"/>
      <c r="D1162" s="1" t="str">
        <f t="shared" si="417"/>
        <v>偿还融资利息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-54</v>
      </c>
      <c r="O1162" s="1">
        <v>744.23</v>
      </c>
      <c r="P1162" s="1">
        <v>0</v>
      </c>
    </row>
    <row r="1163" spans="1:16">
      <c r="A1163" s="1" t="str">
        <f t="shared" si="416"/>
        <v>20180720</v>
      </c>
      <c r="B1163" s="1"/>
      <c r="C1163" s="1"/>
      <c r="D1163" s="1" t="str">
        <f t="shared" si="417"/>
        <v>偿还融资利息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-54.3</v>
      </c>
      <c r="O1163" s="1">
        <v>689.93</v>
      </c>
      <c r="P1163" s="1">
        <v>0</v>
      </c>
    </row>
    <row r="1164" spans="1:16">
      <c r="A1164" s="1" t="str">
        <f t="shared" si="416"/>
        <v>20180720</v>
      </c>
      <c r="B1164" s="1"/>
      <c r="C1164" s="1"/>
      <c r="D1164" s="1" t="str">
        <f t="shared" si="417"/>
        <v>偿还融资利息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-104.7</v>
      </c>
      <c r="O1164" s="1">
        <v>585.23</v>
      </c>
      <c r="P1164" s="1">
        <v>0</v>
      </c>
    </row>
    <row r="1165" spans="1:16">
      <c r="A1165" s="1" t="str">
        <f t="shared" si="416"/>
        <v>20180720</v>
      </c>
      <c r="B1165" s="1"/>
      <c r="C1165" s="1"/>
      <c r="D1165" s="1" t="str">
        <f t="shared" si="417"/>
        <v>偿还融资利息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-22.5</v>
      </c>
      <c r="O1165" s="1">
        <v>562.73</v>
      </c>
      <c r="P1165" s="1">
        <v>0</v>
      </c>
    </row>
    <row r="1166" spans="1:16">
      <c r="A1166" s="1" t="str">
        <f t="shared" si="416"/>
        <v>20180720</v>
      </c>
      <c r="B1166" s="1"/>
      <c r="C1166" s="1"/>
      <c r="D1166" s="1" t="str">
        <f t="shared" si="417"/>
        <v>偿还融资利息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-106.69</v>
      </c>
      <c r="O1166" s="1">
        <v>456.04</v>
      </c>
      <c r="P1166" s="1">
        <v>0</v>
      </c>
    </row>
    <row r="1167" spans="1:16">
      <c r="A1167" s="1" t="str">
        <f t="shared" si="416"/>
        <v>20180720</v>
      </c>
      <c r="B1167" s="1"/>
      <c r="C1167" s="1"/>
      <c r="D1167" s="1" t="str">
        <f t="shared" si="417"/>
        <v>偿还融资利息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-106.69</v>
      </c>
      <c r="O1167" s="1">
        <v>349.35</v>
      </c>
      <c r="P1167" s="1">
        <v>0</v>
      </c>
    </row>
    <row r="1168" spans="1:16">
      <c r="A1168" s="1" t="str">
        <f>"20180806"</f>
        <v>20180806</v>
      </c>
      <c r="B1168" s="1" t="str">
        <f>"600886"</f>
        <v>600886</v>
      </c>
      <c r="C1168" s="1" t="str">
        <f>"国投电力"</f>
        <v>国投电力</v>
      </c>
      <c r="D1168" s="1" t="str">
        <f>"红利入账"</f>
        <v>红利入账</v>
      </c>
      <c r="E1168" s="1">
        <v>0</v>
      </c>
      <c r="F1168" s="1">
        <v>18800</v>
      </c>
      <c r="G1168" s="1">
        <v>3133.96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3133.96</v>
      </c>
      <c r="O1168" s="1">
        <v>3483.31</v>
      </c>
      <c r="P1168" s="1">
        <v>0</v>
      </c>
    </row>
    <row r="1169" spans="1:16">
      <c r="A1169" s="1" t="str">
        <f>"20180807"</f>
        <v>20180807</v>
      </c>
      <c r="B1169" s="1"/>
      <c r="C1169" s="1"/>
      <c r="D1169" s="1" t="str">
        <f t="shared" ref="D1169:D1174" si="418">"偿还融资利息"</f>
        <v>偿还融资利息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-72.73</v>
      </c>
      <c r="O1169" s="1">
        <v>3410.58</v>
      </c>
      <c r="P1169" s="1">
        <v>0</v>
      </c>
    </row>
    <row r="1170" spans="1:16">
      <c r="A1170" s="1" t="str">
        <f>"20180807"</f>
        <v>20180807</v>
      </c>
      <c r="B1170" s="1"/>
      <c r="C1170" s="1"/>
      <c r="D1170" s="1" t="str">
        <f>"偿还融资负债本金"</f>
        <v>偿还融资负债本金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-3410.27</v>
      </c>
      <c r="O1170" s="1">
        <v>0.31</v>
      </c>
      <c r="P1170" s="1">
        <v>0</v>
      </c>
    </row>
    <row r="1171" spans="1:16">
      <c r="A1171" s="1" t="str">
        <f>"20180816"</f>
        <v>20180816</v>
      </c>
      <c r="B1171" s="1" t="str">
        <f>"000601"</f>
        <v>000601</v>
      </c>
      <c r="C1171" s="1" t="str">
        <f>"韶能股份"</f>
        <v>韶能股份</v>
      </c>
      <c r="D1171" s="1" t="str">
        <f>"红利入账"</f>
        <v>红利入账</v>
      </c>
      <c r="E1171" s="1">
        <v>0</v>
      </c>
      <c r="F1171" s="1">
        <v>0</v>
      </c>
      <c r="G1171" s="1">
        <v>1320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1320</v>
      </c>
      <c r="O1171" s="1">
        <v>1320.31</v>
      </c>
      <c r="P1171" s="1">
        <v>0</v>
      </c>
    </row>
    <row r="1172" spans="1:16">
      <c r="A1172" s="1" t="str">
        <f>"20180817"</f>
        <v>20180817</v>
      </c>
      <c r="B1172" s="1"/>
      <c r="C1172" s="1"/>
      <c r="D1172" s="1" t="str">
        <f t="shared" si="418"/>
        <v>偿还融资利息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-34.81</v>
      </c>
      <c r="O1172" s="1">
        <v>1285.5</v>
      </c>
      <c r="P1172" s="1">
        <v>0</v>
      </c>
    </row>
    <row r="1173" spans="1:16">
      <c r="A1173" s="1" t="str">
        <f>"20180817"</f>
        <v>20180817</v>
      </c>
      <c r="B1173" s="1"/>
      <c r="C1173" s="1"/>
      <c r="D1173" s="1" t="str">
        <f>"偿还融资负债本金"</f>
        <v>偿还融资负债本金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-1285.19</v>
      </c>
      <c r="O1173" s="1">
        <v>0.31</v>
      </c>
      <c r="P1173" s="1">
        <v>0</v>
      </c>
    </row>
    <row r="1174" spans="1:16">
      <c r="A1174" s="1" t="str">
        <f>"20180820"</f>
        <v>20180820</v>
      </c>
      <c r="B1174" s="1"/>
      <c r="C1174" s="1"/>
      <c r="D1174" s="1" t="str">
        <f t="shared" si="418"/>
        <v>偿还融资利息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-0.31</v>
      </c>
      <c r="O1174" s="1">
        <v>0</v>
      </c>
      <c r="P1174" s="1">
        <v>0</v>
      </c>
    </row>
    <row r="1175" spans="1:16">
      <c r="A1175" s="1" t="str">
        <f>"20180903"</f>
        <v>20180903</v>
      </c>
      <c r="B1175" s="1" t="str">
        <f>"000601"</f>
        <v>000601</v>
      </c>
      <c r="C1175" s="1" t="str">
        <f>"韶能股份"</f>
        <v>韶能股份</v>
      </c>
      <c r="D1175" s="1" t="str">
        <f>"担保物转入"</f>
        <v>担保物转入</v>
      </c>
      <c r="E1175" s="1">
        <v>7.457</v>
      </c>
      <c r="F1175" s="1">
        <v>29000</v>
      </c>
      <c r="G1175" s="1">
        <v>216253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35000</v>
      </c>
    </row>
    <row r="1176" spans="1:16">
      <c r="A1176" s="1" t="str">
        <f>"20180904"</f>
        <v>20180904</v>
      </c>
      <c r="B1176" s="1" t="str">
        <f>"600886"</f>
        <v>600886</v>
      </c>
      <c r="C1176" s="1" t="str">
        <f>"国投电力"</f>
        <v>国投电力</v>
      </c>
      <c r="D1176" s="1" t="str">
        <f>"担保品卖出"</f>
        <v>担保品卖出</v>
      </c>
      <c r="E1176" s="1">
        <v>7.38</v>
      </c>
      <c r="F1176" s="1">
        <v>14000</v>
      </c>
      <c r="G1176" s="1">
        <v>103320</v>
      </c>
      <c r="H1176" s="1">
        <v>32.03</v>
      </c>
      <c r="I1176" s="1">
        <v>24.94</v>
      </c>
      <c r="J1176" s="1">
        <v>103.33</v>
      </c>
      <c r="K1176" s="1">
        <v>2.06</v>
      </c>
      <c r="L1176" s="1">
        <v>0</v>
      </c>
      <c r="M1176" s="1">
        <v>0</v>
      </c>
      <c r="N1176" s="1">
        <v>103182.58</v>
      </c>
      <c r="O1176" s="1">
        <v>103182.58</v>
      </c>
      <c r="P1176" s="1">
        <v>4800</v>
      </c>
    </row>
    <row r="1177" spans="1:16">
      <c r="A1177" s="1" t="str">
        <f t="shared" ref="A1177:A1179" si="419">"20180905"</f>
        <v>20180905</v>
      </c>
      <c r="B1177" s="1"/>
      <c r="C1177" s="1"/>
      <c r="D1177" s="1" t="str">
        <f>"证券转银行"</f>
        <v>证券转银行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-100000</v>
      </c>
      <c r="O1177" s="1">
        <v>3182.58</v>
      </c>
      <c r="P1177" s="1">
        <v>0</v>
      </c>
    </row>
    <row r="1178" spans="1:16">
      <c r="A1178" s="1" t="str">
        <f t="shared" si="419"/>
        <v>20180905</v>
      </c>
      <c r="B1178" s="1"/>
      <c r="C1178" s="1"/>
      <c r="D1178" s="1" t="str">
        <f>"偿还融资利息"</f>
        <v>偿还融资利息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-60.27</v>
      </c>
      <c r="O1178" s="1">
        <v>3122.31</v>
      </c>
      <c r="P1178" s="1">
        <v>0</v>
      </c>
    </row>
    <row r="1179" spans="1:16">
      <c r="A1179" s="1" t="str">
        <f t="shared" si="419"/>
        <v>20180905</v>
      </c>
      <c r="B1179" s="1"/>
      <c r="C1179" s="1"/>
      <c r="D1179" s="1" t="str">
        <f>"偿还融资负债本金"</f>
        <v>偿还融资负债本金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-3122.31</v>
      </c>
      <c r="O1179" s="1">
        <v>0</v>
      </c>
      <c r="P1179" s="1">
        <v>0</v>
      </c>
    </row>
    <row r="1180" spans="1:16">
      <c r="A1180" s="1" t="str">
        <f>"20180917"</f>
        <v>20180917</v>
      </c>
      <c r="B1180" s="1" t="str">
        <f>"000543"</f>
        <v>000543</v>
      </c>
      <c r="C1180" s="1" t="str">
        <f>"皖能电力"</f>
        <v>皖能电力</v>
      </c>
      <c r="D1180" s="1" t="str">
        <f>"融资买入"</f>
        <v>融资买入</v>
      </c>
      <c r="E1180" s="1">
        <v>4.14</v>
      </c>
      <c r="F1180" s="1">
        <v>5000</v>
      </c>
      <c r="G1180" s="1">
        <v>20700</v>
      </c>
      <c r="H1180" s="1">
        <v>10.35</v>
      </c>
      <c r="I1180" s="1">
        <v>8.53</v>
      </c>
      <c r="J1180" s="1">
        <v>0</v>
      </c>
      <c r="K1180" s="1">
        <v>0</v>
      </c>
      <c r="L1180" s="1">
        <v>0</v>
      </c>
      <c r="M1180" s="1">
        <v>0</v>
      </c>
      <c r="N1180" s="1">
        <v>-20710.35</v>
      </c>
      <c r="O1180" s="1">
        <v>-20710.35</v>
      </c>
      <c r="P1180" s="1">
        <v>20000</v>
      </c>
    </row>
    <row r="1181" spans="1:16">
      <c r="A1181" s="1" t="str">
        <f>"20180917"</f>
        <v>20180917</v>
      </c>
      <c r="B1181" s="1"/>
      <c r="C1181" s="1"/>
      <c r="D1181" s="1" t="str">
        <f>"融资借入"</f>
        <v>融资借入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20710.35</v>
      </c>
      <c r="O1181" s="1">
        <v>0</v>
      </c>
      <c r="P1181" s="1">
        <v>0</v>
      </c>
    </row>
    <row r="1182" spans="1:16">
      <c r="A1182" s="1" t="str">
        <f>"20180920"</f>
        <v>20180920</v>
      </c>
      <c r="B1182" s="1"/>
      <c r="C1182" s="1"/>
      <c r="D1182" s="1" t="str">
        <f>"利息归本"</f>
        <v>利息归本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0.3</v>
      </c>
      <c r="O1182" s="1">
        <v>0.3</v>
      </c>
      <c r="P1182" s="1">
        <v>0</v>
      </c>
    </row>
    <row r="1183" spans="1:16">
      <c r="A1183" s="1" t="str">
        <f>"20180920"</f>
        <v>20180920</v>
      </c>
      <c r="B1183" s="1"/>
      <c r="C1183" s="1"/>
      <c r="D1183" s="1" t="str">
        <f>"偿还融资利息"</f>
        <v>偿还融资利息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-0.3</v>
      </c>
      <c r="O1183" s="1">
        <v>0</v>
      </c>
      <c r="P1183" s="1">
        <v>0</v>
      </c>
    </row>
    <row r="1184" spans="1:16">
      <c r="A1184" s="1" t="str">
        <f t="shared" ref="A1184:A1198" si="420">"20181116"</f>
        <v>20181116</v>
      </c>
      <c r="B1184" s="1" t="str">
        <f>"000543"</f>
        <v>000543</v>
      </c>
      <c r="C1184" s="1" t="str">
        <f>"皖能电力"</f>
        <v>皖能电力</v>
      </c>
      <c r="D1184" s="1" t="str">
        <f>"卖券还款"</f>
        <v>卖券还款</v>
      </c>
      <c r="E1184" s="1">
        <v>4.58</v>
      </c>
      <c r="F1184" s="1">
        <v>5000</v>
      </c>
      <c r="G1184" s="1">
        <v>22900</v>
      </c>
      <c r="H1184" s="1">
        <v>11.45</v>
      </c>
      <c r="I1184" s="1">
        <v>9.41</v>
      </c>
      <c r="J1184" s="1">
        <v>22.91</v>
      </c>
      <c r="K1184" s="1">
        <v>0</v>
      </c>
      <c r="L1184" s="1">
        <v>0</v>
      </c>
      <c r="M1184" s="1">
        <v>0</v>
      </c>
      <c r="N1184" s="1">
        <v>22865.64</v>
      </c>
      <c r="O1184" s="1">
        <v>22865.64</v>
      </c>
      <c r="P1184" s="1">
        <v>15000</v>
      </c>
    </row>
    <row r="1185" spans="1:16">
      <c r="A1185" s="1" t="str">
        <f t="shared" si="420"/>
        <v>20181116</v>
      </c>
      <c r="B1185" s="1" t="str">
        <f>"002183"</f>
        <v>002183</v>
      </c>
      <c r="C1185" s="1" t="str">
        <f>"怡 亚 通"</f>
        <v>怡 亚 通</v>
      </c>
      <c r="D1185" s="1" t="str">
        <f>"融资买入"</f>
        <v>融资买入</v>
      </c>
      <c r="E1185" s="1">
        <v>5.76</v>
      </c>
      <c r="F1185" s="1">
        <v>2500</v>
      </c>
      <c r="G1185" s="1">
        <v>14400</v>
      </c>
      <c r="H1185" s="1">
        <v>7.2</v>
      </c>
      <c r="I1185" s="1">
        <v>5.92</v>
      </c>
      <c r="J1185" s="1">
        <v>0</v>
      </c>
      <c r="K1185" s="1">
        <v>0</v>
      </c>
      <c r="L1185" s="1">
        <v>0</v>
      </c>
      <c r="M1185" s="1">
        <v>0</v>
      </c>
      <c r="N1185" s="1">
        <v>-14407.2</v>
      </c>
      <c r="O1185" s="1">
        <v>8458.44</v>
      </c>
      <c r="P1185" s="1">
        <v>7500</v>
      </c>
    </row>
    <row r="1186" spans="1:16">
      <c r="A1186" s="1" t="str">
        <f t="shared" si="420"/>
        <v>20181116</v>
      </c>
      <c r="B1186" s="1" t="str">
        <f>"002183"</f>
        <v>002183</v>
      </c>
      <c r="C1186" s="1" t="str">
        <f>"怡 亚 通"</f>
        <v>怡 亚 通</v>
      </c>
      <c r="D1186" s="1" t="str">
        <f>"卖券还款"</f>
        <v>卖券还款</v>
      </c>
      <c r="E1186" s="1">
        <v>5.83</v>
      </c>
      <c r="F1186" s="1">
        <v>2500</v>
      </c>
      <c r="G1186" s="1">
        <v>14575</v>
      </c>
      <c r="H1186" s="1">
        <v>7.29</v>
      </c>
      <c r="I1186" s="1">
        <v>6</v>
      </c>
      <c r="J1186" s="1">
        <v>14.58</v>
      </c>
      <c r="K1186" s="1">
        <v>0</v>
      </c>
      <c r="L1186" s="1">
        <v>0</v>
      </c>
      <c r="M1186" s="1">
        <v>0</v>
      </c>
      <c r="N1186" s="1">
        <v>14553.13</v>
      </c>
      <c r="O1186" s="1">
        <v>23011.57</v>
      </c>
      <c r="P1186" s="1">
        <v>5000</v>
      </c>
    </row>
    <row r="1187" spans="1:16">
      <c r="A1187" s="1" t="str">
        <f t="shared" si="420"/>
        <v>20181116</v>
      </c>
      <c r="B1187" s="1"/>
      <c r="C1187" s="1"/>
      <c r="D1187" s="1" t="str">
        <f>"融资借入"</f>
        <v>融资借入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14407.2</v>
      </c>
      <c r="O1187" s="1">
        <v>37418.77</v>
      </c>
      <c r="P1187" s="1">
        <v>0</v>
      </c>
    </row>
    <row r="1188" spans="1:16">
      <c r="A1188" s="1" t="str">
        <f t="shared" si="420"/>
        <v>20181116</v>
      </c>
      <c r="B1188" s="1"/>
      <c r="C1188" s="1"/>
      <c r="D1188" s="1" t="str">
        <f t="shared" ref="D1188:D1192" si="421">"偿还融资利息"</f>
        <v>偿还融资利息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-212.39</v>
      </c>
      <c r="O1188" s="1">
        <v>37206.38</v>
      </c>
      <c r="P1188" s="1">
        <v>0</v>
      </c>
    </row>
    <row r="1189" spans="1:16">
      <c r="A1189" s="1" t="str">
        <f t="shared" si="420"/>
        <v>20181116</v>
      </c>
      <c r="B1189" s="1"/>
      <c r="C1189" s="1"/>
      <c r="D1189" s="1" t="str">
        <f t="shared" ref="D1189:D1194" si="422">"偿还融资负债本金"</f>
        <v>偿还融资负债本金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-7755</v>
      </c>
      <c r="O1189" s="1">
        <v>29451.38</v>
      </c>
      <c r="P1189" s="1">
        <v>0</v>
      </c>
    </row>
    <row r="1190" spans="1:16">
      <c r="A1190" s="1" t="str">
        <f t="shared" si="420"/>
        <v>20181116</v>
      </c>
      <c r="B1190" s="1"/>
      <c r="C1190" s="1"/>
      <c r="D1190" s="1" t="str">
        <f t="shared" si="421"/>
        <v>偿还融资利息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-213.55</v>
      </c>
      <c r="O1190" s="1">
        <v>29237.83</v>
      </c>
      <c r="P1190" s="1">
        <v>0</v>
      </c>
    </row>
    <row r="1191" spans="1:16">
      <c r="A1191" s="1" t="str">
        <f t="shared" si="420"/>
        <v>20181116</v>
      </c>
      <c r="B1191" s="1"/>
      <c r="C1191" s="1"/>
      <c r="D1191" s="1" t="str">
        <f t="shared" si="422"/>
        <v>偿还融资负债本金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-7795</v>
      </c>
      <c r="O1191" s="1">
        <v>21442.83</v>
      </c>
      <c r="P1191" s="1">
        <v>0</v>
      </c>
    </row>
    <row r="1192" spans="1:16">
      <c r="A1192" s="1" t="str">
        <f t="shared" si="420"/>
        <v>20181116</v>
      </c>
      <c r="B1192" s="1"/>
      <c r="C1192" s="1"/>
      <c r="D1192" s="1" t="str">
        <f t="shared" si="421"/>
        <v>偿还融资利息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-411.79</v>
      </c>
      <c r="O1192" s="1">
        <v>21031.04</v>
      </c>
      <c r="P1192" s="1">
        <v>0</v>
      </c>
    </row>
    <row r="1193" spans="1:16">
      <c r="A1193" s="1" t="str">
        <f t="shared" si="420"/>
        <v>20181116</v>
      </c>
      <c r="B1193" s="1"/>
      <c r="C1193" s="1"/>
      <c r="D1193" s="1" t="str">
        <f t="shared" si="422"/>
        <v>偿还融资负债本金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-6420.57</v>
      </c>
      <c r="O1193" s="1">
        <v>14610.47</v>
      </c>
      <c r="P1193" s="1">
        <v>0</v>
      </c>
    </row>
    <row r="1194" spans="1:16">
      <c r="A1194" s="1" t="str">
        <f t="shared" si="420"/>
        <v>20181116</v>
      </c>
      <c r="B1194" s="1"/>
      <c r="C1194" s="1"/>
      <c r="D1194" s="1" t="str">
        <f t="shared" si="422"/>
        <v>偿还融资负债本金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-8616.95</v>
      </c>
      <c r="O1194" s="1">
        <v>5993.52</v>
      </c>
      <c r="P1194" s="1">
        <v>0</v>
      </c>
    </row>
    <row r="1195" spans="1:16">
      <c r="A1195" s="1" t="str">
        <f t="shared" si="420"/>
        <v>20181116</v>
      </c>
      <c r="B1195" s="1"/>
      <c r="C1195" s="1"/>
      <c r="D1195" s="1" t="str">
        <f>"偿还融资利息"</f>
        <v>偿还融资利息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-88.5</v>
      </c>
      <c r="O1195" s="1">
        <v>5905.02</v>
      </c>
      <c r="P1195" s="1">
        <v>0</v>
      </c>
    </row>
    <row r="1196" spans="1:16">
      <c r="A1196" s="1" t="str">
        <f t="shared" si="420"/>
        <v>20181116</v>
      </c>
      <c r="B1196" s="1"/>
      <c r="C1196" s="1"/>
      <c r="D1196" s="1" t="str">
        <f>"偿还融资负债本金"</f>
        <v>偿还融资负债本金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-3232.34</v>
      </c>
      <c r="O1196" s="1">
        <v>2672.68</v>
      </c>
      <c r="P1196" s="1">
        <v>0</v>
      </c>
    </row>
    <row r="1197" spans="1:16">
      <c r="A1197" s="1" t="str">
        <f t="shared" si="420"/>
        <v>20181116</v>
      </c>
      <c r="B1197" s="1"/>
      <c r="C1197" s="1"/>
      <c r="D1197" s="1" t="str">
        <f>"偿还融资利息"</f>
        <v>偿还融资利息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-418.9</v>
      </c>
      <c r="O1197" s="1">
        <v>2253.78</v>
      </c>
      <c r="P1197" s="1">
        <v>0</v>
      </c>
    </row>
    <row r="1198" spans="1:16">
      <c r="A1198" s="1" t="str">
        <f t="shared" si="420"/>
        <v>20181116</v>
      </c>
      <c r="B1198" s="1"/>
      <c r="C1198" s="1"/>
      <c r="D1198" s="1" t="str">
        <f>"偿还融资负债本金"</f>
        <v>偿还融资负债本金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-2160</v>
      </c>
      <c r="O1198" s="1">
        <v>93.78</v>
      </c>
      <c r="P1198" s="1">
        <v>0</v>
      </c>
    </row>
    <row r="1199" spans="1:16">
      <c r="A1199" s="1" t="str">
        <f t="shared" ref="A1199:A1201" si="423">"20181119"</f>
        <v>20181119</v>
      </c>
      <c r="B1199" s="1" t="str">
        <f>"000543"</f>
        <v>000543</v>
      </c>
      <c r="C1199" s="1" t="str">
        <f>"皖能电力"</f>
        <v>皖能电力</v>
      </c>
      <c r="D1199" s="1" t="str">
        <f>"股息红利差异扣税"</f>
        <v>股息红利差异扣税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-5</v>
      </c>
      <c r="O1199" s="1">
        <v>88.78</v>
      </c>
      <c r="P1199" s="1">
        <v>0</v>
      </c>
    </row>
    <row r="1200" spans="1:16">
      <c r="A1200" s="1" t="str">
        <f t="shared" si="423"/>
        <v>20181119</v>
      </c>
      <c r="B1200" s="1" t="str">
        <f>"000768"</f>
        <v>000768</v>
      </c>
      <c r="C1200" s="1" t="str">
        <f>"中航飞机"</f>
        <v>中航飞机</v>
      </c>
      <c r="D1200" s="1" t="str">
        <f>"融资买入"</f>
        <v>融资买入</v>
      </c>
      <c r="E1200" s="1">
        <v>15.59</v>
      </c>
      <c r="F1200" s="1">
        <v>1000</v>
      </c>
      <c r="G1200" s="1">
        <v>15590</v>
      </c>
      <c r="H1200" s="1">
        <v>7.8</v>
      </c>
      <c r="I1200" s="1">
        <v>6.42</v>
      </c>
      <c r="J1200" s="1">
        <v>0</v>
      </c>
      <c r="K1200" s="1">
        <v>0</v>
      </c>
      <c r="L1200" s="1">
        <v>0</v>
      </c>
      <c r="M1200" s="1">
        <v>0</v>
      </c>
      <c r="N1200" s="1">
        <v>-15597.8</v>
      </c>
      <c r="O1200" s="1">
        <v>-15509.02</v>
      </c>
      <c r="P1200" s="1">
        <v>1000</v>
      </c>
    </row>
    <row r="1201" spans="1:16">
      <c r="A1201" s="1" t="str">
        <f t="shared" si="423"/>
        <v>20181119</v>
      </c>
      <c r="B1201" s="1"/>
      <c r="C1201" s="1"/>
      <c r="D1201" s="1" t="str">
        <f>"融资借入"</f>
        <v>融资借入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15597.8</v>
      </c>
      <c r="O1201" s="1">
        <v>88.78</v>
      </c>
      <c r="P1201" s="1">
        <v>0</v>
      </c>
    </row>
    <row r="1202" spans="1:16">
      <c r="A1202" s="1" t="str">
        <f>"20181120"</f>
        <v>20181120</v>
      </c>
      <c r="B1202" s="1"/>
      <c r="C1202" s="1"/>
      <c r="D1202" s="1" t="str">
        <f t="shared" ref="D1202:D1207" si="424">"偿还融资利息"</f>
        <v>偿还融资利息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-15.25</v>
      </c>
      <c r="O1202" s="1">
        <v>73.53</v>
      </c>
      <c r="P1202" s="1">
        <v>0</v>
      </c>
    </row>
    <row r="1203" spans="1:16">
      <c r="A1203" s="1" t="str">
        <f>"20181120"</f>
        <v>20181120</v>
      </c>
      <c r="B1203" s="1"/>
      <c r="C1203" s="1"/>
      <c r="D1203" s="1" t="str">
        <f t="shared" si="424"/>
        <v>偿还融资利息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-73.53</v>
      </c>
      <c r="O1203" s="1">
        <v>0</v>
      </c>
      <c r="P1203" s="1">
        <v>0</v>
      </c>
    </row>
    <row r="1204" spans="1:16">
      <c r="A1204" s="1" t="str">
        <f t="shared" ref="A1204:A1210" si="425">"20181122"</f>
        <v>20181122</v>
      </c>
      <c r="B1204" s="1" t="str">
        <f>"002183"</f>
        <v>002183</v>
      </c>
      <c r="C1204" s="1" t="str">
        <f>"怡 亚 通"</f>
        <v>怡 亚 通</v>
      </c>
      <c r="D1204" s="1" t="str">
        <f>"融资买入"</f>
        <v>融资买入</v>
      </c>
      <c r="E1204" s="1">
        <v>5.63</v>
      </c>
      <c r="F1204" s="1">
        <v>2500</v>
      </c>
      <c r="G1204" s="1">
        <v>14075</v>
      </c>
      <c r="H1204" s="1">
        <v>7.04</v>
      </c>
      <c r="I1204" s="1">
        <v>5.79</v>
      </c>
      <c r="J1204" s="1">
        <v>0</v>
      </c>
      <c r="K1204" s="1">
        <v>0</v>
      </c>
      <c r="L1204" s="1">
        <v>0</v>
      </c>
      <c r="M1204" s="1">
        <v>0</v>
      </c>
      <c r="N1204" s="1">
        <v>-14082.04</v>
      </c>
      <c r="O1204" s="1">
        <v>-14082.04</v>
      </c>
      <c r="P1204" s="1">
        <v>7500</v>
      </c>
    </row>
    <row r="1205" spans="1:16">
      <c r="A1205" s="1" t="str">
        <f t="shared" si="425"/>
        <v>20181122</v>
      </c>
      <c r="B1205" s="1" t="str">
        <f>"000768"</f>
        <v>000768</v>
      </c>
      <c r="C1205" s="1" t="str">
        <f>"中航飞机"</f>
        <v>中航飞机</v>
      </c>
      <c r="D1205" s="1" t="str">
        <f>"卖券还款"</f>
        <v>卖券还款</v>
      </c>
      <c r="E1205" s="1">
        <v>15.7</v>
      </c>
      <c r="F1205" s="1">
        <v>1000</v>
      </c>
      <c r="G1205" s="1">
        <v>15700</v>
      </c>
      <c r="H1205" s="1">
        <v>7.85</v>
      </c>
      <c r="I1205" s="1">
        <v>6.46</v>
      </c>
      <c r="J1205" s="1">
        <v>15.7</v>
      </c>
      <c r="K1205" s="1">
        <v>0</v>
      </c>
      <c r="L1205" s="1">
        <v>0</v>
      </c>
      <c r="M1205" s="1">
        <v>0</v>
      </c>
      <c r="N1205" s="1">
        <v>15676.45</v>
      </c>
      <c r="O1205" s="1">
        <v>1594.41</v>
      </c>
      <c r="P1205" s="1">
        <v>0</v>
      </c>
    </row>
    <row r="1206" spans="1:16">
      <c r="A1206" s="1" t="str">
        <f t="shared" si="425"/>
        <v>20181122</v>
      </c>
      <c r="B1206" s="1"/>
      <c r="C1206" s="1"/>
      <c r="D1206" s="1" t="str">
        <f>"融资借入"</f>
        <v>融资借入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14082.04</v>
      </c>
      <c r="O1206" s="1">
        <v>15676.45</v>
      </c>
      <c r="P1206" s="1">
        <v>0</v>
      </c>
    </row>
    <row r="1207" spans="1:16">
      <c r="A1207" s="1" t="str">
        <f t="shared" si="425"/>
        <v>20181122</v>
      </c>
      <c r="B1207" s="1"/>
      <c r="C1207" s="1"/>
      <c r="D1207" s="1" t="str">
        <f t="shared" si="424"/>
        <v>偿还融资利息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-3.05</v>
      </c>
      <c r="O1207" s="1">
        <v>15673.4</v>
      </c>
      <c r="P1207" s="1">
        <v>0</v>
      </c>
    </row>
    <row r="1208" spans="1:16">
      <c r="A1208" s="1" t="str">
        <f t="shared" si="425"/>
        <v>20181122</v>
      </c>
      <c r="B1208" s="1"/>
      <c r="C1208" s="1"/>
      <c r="D1208" s="1" t="str">
        <f>"偿还融资负债本金"</f>
        <v>偿还融资负债本金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-13147.65</v>
      </c>
      <c r="O1208" s="1">
        <v>2525.75</v>
      </c>
      <c r="P1208" s="1">
        <v>0</v>
      </c>
    </row>
    <row r="1209" spans="1:16">
      <c r="A1209" s="1" t="str">
        <f t="shared" si="425"/>
        <v>20181122</v>
      </c>
      <c r="B1209" s="1"/>
      <c r="C1209" s="1"/>
      <c r="D1209" s="1" t="str">
        <f>"偿还融资利息"</f>
        <v>偿还融资利息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-366.67</v>
      </c>
      <c r="O1209" s="1">
        <v>2159.08</v>
      </c>
      <c r="P1209" s="1">
        <v>0</v>
      </c>
    </row>
    <row r="1210" spans="1:16">
      <c r="A1210" s="1" t="str">
        <f t="shared" si="425"/>
        <v>20181122</v>
      </c>
      <c r="B1210" s="1"/>
      <c r="C1210" s="1"/>
      <c r="D1210" s="1" t="str">
        <f>"偿还融资负债本金"</f>
        <v>偿还融资负债本金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-2119.73</v>
      </c>
      <c r="O1210" s="1">
        <v>39.35</v>
      </c>
      <c r="P1210" s="1">
        <v>0</v>
      </c>
    </row>
    <row r="1211" spans="1:16">
      <c r="A1211" s="1" t="str">
        <f t="shared" ref="A1211:A1225" si="426">"20181128"</f>
        <v>20181128</v>
      </c>
      <c r="B1211" s="1" t="str">
        <f t="shared" ref="B1211:B1214" si="427">"002183"</f>
        <v>002183</v>
      </c>
      <c r="C1211" s="1" t="str">
        <f t="shared" ref="C1211:C1214" si="428">"怡 亚 通"</f>
        <v>怡 亚 通</v>
      </c>
      <c r="D1211" s="1" t="str">
        <f>"卖券还款"</f>
        <v>卖券还款</v>
      </c>
      <c r="E1211" s="1">
        <v>5.24</v>
      </c>
      <c r="F1211" s="1">
        <v>5000</v>
      </c>
      <c r="G1211" s="1">
        <v>26200</v>
      </c>
      <c r="H1211" s="1">
        <v>13.1</v>
      </c>
      <c r="I1211" s="1">
        <v>10.78</v>
      </c>
      <c r="J1211" s="1">
        <v>26.2</v>
      </c>
      <c r="K1211" s="1">
        <v>0</v>
      </c>
      <c r="L1211" s="1">
        <v>0</v>
      </c>
      <c r="M1211" s="1">
        <v>0</v>
      </c>
      <c r="N1211" s="1">
        <v>26160.7</v>
      </c>
      <c r="O1211" s="1">
        <v>26200.05</v>
      </c>
      <c r="P1211" s="1">
        <v>2500</v>
      </c>
    </row>
    <row r="1212" spans="1:16">
      <c r="A1212" s="1" t="str">
        <f t="shared" si="426"/>
        <v>20181128</v>
      </c>
      <c r="B1212" s="1" t="str">
        <f>"000543"</f>
        <v>000543</v>
      </c>
      <c r="C1212" s="1" t="str">
        <f>"皖能电力"</f>
        <v>皖能电力</v>
      </c>
      <c r="D1212" s="1" t="str">
        <f>"卖券还款"</f>
        <v>卖券还款</v>
      </c>
      <c r="E1212" s="1">
        <v>4.5</v>
      </c>
      <c r="F1212" s="1">
        <v>5000</v>
      </c>
      <c r="G1212" s="1">
        <v>22500</v>
      </c>
      <c r="H1212" s="1">
        <v>11.25</v>
      </c>
      <c r="I1212" s="1">
        <v>9.24</v>
      </c>
      <c r="J1212" s="1">
        <v>22.5</v>
      </c>
      <c r="K1212" s="1">
        <v>0</v>
      </c>
      <c r="L1212" s="1">
        <v>0</v>
      </c>
      <c r="M1212" s="1">
        <v>0</v>
      </c>
      <c r="N1212" s="1">
        <v>22466.25</v>
      </c>
      <c r="O1212" s="1">
        <v>48666.3</v>
      </c>
      <c r="P1212" s="1">
        <v>10000</v>
      </c>
    </row>
    <row r="1213" spans="1:16">
      <c r="A1213" s="1" t="str">
        <f t="shared" si="426"/>
        <v>20181128</v>
      </c>
      <c r="B1213" s="1" t="str">
        <f t="shared" si="427"/>
        <v>002183</v>
      </c>
      <c r="C1213" s="1" t="str">
        <f t="shared" si="428"/>
        <v>怡 亚 通</v>
      </c>
      <c r="D1213" s="1" t="str">
        <f>"融资买入"</f>
        <v>融资买入</v>
      </c>
      <c r="E1213" s="1">
        <v>5.28</v>
      </c>
      <c r="F1213" s="1">
        <v>5000</v>
      </c>
      <c r="G1213" s="1">
        <v>26400</v>
      </c>
      <c r="H1213" s="1">
        <v>13.2</v>
      </c>
      <c r="I1213" s="1">
        <v>10.85</v>
      </c>
      <c r="J1213" s="1">
        <v>0</v>
      </c>
      <c r="K1213" s="1">
        <v>0</v>
      </c>
      <c r="L1213" s="1">
        <v>0</v>
      </c>
      <c r="M1213" s="1">
        <v>0</v>
      </c>
      <c r="N1213" s="1">
        <v>-26413.2</v>
      </c>
      <c r="O1213" s="1">
        <v>22253.1</v>
      </c>
      <c r="P1213" s="1">
        <v>7500</v>
      </c>
    </row>
    <row r="1214" spans="1:16">
      <c r="A1214" s="1" t="str">
        <f t="shared" si="426"/>
        <v>20181128</v>
      </c>
      <c r="B1214" s="1" t="str">
        <f t="shared" si="427"/>
        <v>002183</v>
      </c>
      <c r="C1214" s="1" t="str">
        <f t="shared" si="428"/>
        <v>怡 亚 通</v>
      </c>
      <c r="D1214" s="1" t="str">
        <f>"融资买入"</f>
        <v>融资买入</v>
      </c>
      <c r="E1214" s="1">
        <v>5.29</v>
      </c>
      <c r="F1214" s="1">
        <v>2500</v>
      </c>
      <c r="G1214" s="1">
        <v>13225</v>
      </c>
      <c r="H1214" s="1">
        <v>6.61</v>
      </c>
      <c r="I1214" s="1">
        <v>5.44</v>
      </c>
      <c r="J1214" s="1">
        <v>0</v>
      </c>
      <c r="K1214" s="1">
        <v>0</v>
      </c>
      <c r="L1214" s="1">
        <v>0</v>
      </c>
      <c r="M1214" s="1">
        <v>0</v>
      </c>
      <c r="N1214" s="1">
        <v>-13231.61</v>
      </c>
      <c r="O1214" s="1">
        <v>9021.49</v>
      </c>
      <c r="P1214" s="1">
        <v>10000</v>
      </c>
    </row>
    <row r="1215" spans="1:16">
      <c r="A1215" s="1" t="str">
        <f t="shared" si="426"/>
        <v>20181128</v>
      </c>
      <c r="B1215" s="1"/>
      <c r="C1215" s="1"/>
      <c r="D1215" s="1" t="str">
        <f>"融资借入"</f>
        <v>融资借入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26413.2</v>
      </c>
      <c r="O1215" s="1">
        <v>35434.69</v>
      </c>
      <c r="P1215" s="1">
        <v>0</v>
      </c>
    </row>
    <row r="1216" spans="1:16">
      <c r="A1216" s="1" t="str">
        <f t="shared" si="426"/>
        <v>20181128</v>
      </c>
      <c r="B1216" s="1"/>
      <c r="C1216" s="1"/>
      <c r="D1216" s="1" t="str">
        <f>"融资借入"</f>
        <v>融资借入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13231.61</v>
      </c>
      <c r="O1216" s="1">
        <v>48666.3</v>
      </c>
      <c r="P1216" s="1">
        <v>0</v>
      </c>
    </row>
    <row r="1217" spans="1:16">
      <c r="A1217" s="1" t="str">
        <f t="shared" si="426"/>
        <v>20181128</v>
      </c>
      <c r="B1217" s="1"/>
      <c r="C1217" s="1"/>
      <c r="D1217" s="1" t="str">
        <f t="shared" ref="D1217:D1222" si="429">"偿还融资利息"</f>
        <v>偿还融资利息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-18.36</v>
      </c>
      <c r="O1217" s="1">
        <v>48647.94</v>
      </c>
      <c r="P1217" s="1">
        <v>0</v>
      </c>
    </row>
    <row r="1218" spans="1:16">
      <c r="A1218" s="1" t="str">
        <f t="shared" si="426"/>
        <v>20181128</v>
      </c>
      <c r="B1218" s="1"/>
      <c r="C1218" s="1"/>
      <c r="D1218" s="1" t="str">
        <f t="shared" ref="D1218:D1221" si="430">"偿还融资负债本金"</f>
        <v>偿还融资负债本金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-13187.92</v>
      </c>
      <c r="O1218" s="1">
        <v>35460.02</v>
      </c>
      <c r="P1218" s="1">
        <v>0</v>
      </c>
    </row>
    <row r="1219" spans="1:16">
      <c r="A1219" s="1" t="str">
        <f t="shared" si="426"/>
        <v>20181128</v>
      </c>
      <c r="B1219" s="1"/>
      <c r="C1219" s="1"/>
      <c r="D1219" s="1" t="str">
        <f t="shared" si="429"/>
        <v>偿还融资利息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-345.71</v>
      </c>
      <c r="O1219" s="1">
        <v>35114.31</v>
      </c>
      <c r="P1219" s="1">
        <v>0</v>
      </c>
    </row>
    <row r="1220" spans="1:16">
      <c r="A1220" s="1" t="str">
        <f t="shared" si="426"/>
        <v>20181128</v>
      </c>
      <c r="B1220" s="1"/>
      <c r="C1220" s="1"/>
      <c r="D1220" s="1" t="str">
        <f t="shared" si="430"/>
        <v>偿还融资负债本金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-12543.21</v>
      </c>
      <c r="O1220" s="1">
        <v>22571.1</v>
      </c>
      <c r="P1220" s="1">
        <v>0</v>
      </c>
    </row>
    <row r="1221" spans="1:16">
      <c r="A1221" s="1" t="str">
        <f t="shared" si="426"/>
        <v>20181128</v>
      </c>
      <c r="B1221" s="1"/>
      <c r="C1221" s="1"/>
      <c r="D1221" s="1" t="str">
        <f t="shared" si="430"/>
        <v>偿还融资负债本金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-8167.14</v>
      </c>
      <c r="O1221" s="1">
        <v>14403.96</v>
      </c>
      <c r="P1221" s="1">
        <v>0</v>
      </c>
    </row>
    <row r="1222" spans="1:16">
      <c r="A1222" s="1" t="str">
        <f t="shared" si="426"/>
        <v>20181128</v>
      </c>
      <c r="B1222" s="1"/>
      <c r="C1222" s="1"/>
      <c r="D1222" s="1" t="str">
        <f t="shared" si="429"/>
        <v>偿还融资利息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-207.07</v>
      </c>
      <c r="O1222" s="1">
        <v>14196.89</v>
      </c>
      <c r="P1222" s="1">
        <v>0</v>
      </c>
    </row>
    <row r="1223" spans="1:16">
      <c r="A1223" s="1" t="str">
        <f t="shared" si="426"/>
        <v>20181128</v>
      </c>
      <c r="B1223" s="1"/>
      <c r="C1223" s="1"/>
      <c r="D1223" s="1" t="str">
        <f t="shared" ref="D1223:D1228" si="431">"偿还融资负债本金"</f>
        <v>偿还融资负债本金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-10616.44</v>
      </c>
      <c r="O1223" s="1">
        <v>3580.45</v>
      </c>
      <c r="P1223" s="1">
        <v>0</v>
      </c>
    </row>
    <row r="1224" spans="1:16">
      <c r="A1224" s="1" t="str">
        <f t="shared" si="426"/>
        <v>20181128</v>
      </c>
      <c r="B1224" s="1"/>
      <c r="C1224" s="1"/>
      <c r="D1224" s="1" t="str">
        <f>"偿还融资利息"</f>
        <v>偿还融资利息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-40.08</v>
      </c>
      <c r="O1224" s="1">
        <v>3540.37</v>
      </c>
      <c r="P1224" s="1">
        <v>0</v>
      </c>
    </row>
    <row r="1225" spans="1:16">
      <c r="A1225" s="1" t="str">
        <f t="shared" si="426"/>
        <v>20181128</v>
      </c>
      <c r="B1225" s="1"/>
      <c r="C1225" s="1"/>
      <c r="D1225" s="1" t="str">
        <f t="shared" si="431"/>
        <v>偿还融资负债本金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-3379.27</v>
      </c>
      <c r="O1225" s="1">
        <v>161.1</v>
      </c>
      <c r="P1225" s="1">
        <v>0</v>
      </c>
    </row>
    <row r="1226" spans="1:16">
      <c r="A1226" s="1" t="str">
        <f>"20181129"</f>
        <v>20181129</v>
      </c>
      <c r="B1226" s="1" t="str">
        <f>"000543"</f>
        <v>000543</v>
      </c>
      <c r="C1226" s="1" t="str">
        <f>"皖能电力"</f>
        <v>皖能电力</v>
      </c>
      <c r="D1226" s="1" t="str">
        <f>"股息红利差异扣税"</f>
        <v>股息红利差异扣税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-5</v>
      </c>
      <c r="O1226" s="1">
        <v>156.1</v>
      </c>
      <c r="P1226" s="1">
        <v>0</v>
      </c>
    </row>
    <row r="1227" spans="1:16">
      <c r="A1227" s="1" t="str">
        <f>"20181204"</f>
        <v>20181204</v>
      </c>
      <c r="B1227" s="1"/>
      <c r="C1227" s="1"/>
      <c r="D1227" s="1" t="str">
        <f t="shared" ref="D1227:D1236" si="432">"偿还融资利息"</f>
        <v>偿还融资利息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-15.36</v>
      </c>
      <c r="O1227" s="1">
        <v>140.74</v>
      </c>
      <c r="P1227" s="1">
        <v>0</v>
      </c>
    </row>
    <row r="1228" spans="1:16">
      <c r="A1228" s="1" t="str">
        <f>"20181204"</f>
        <v>20181204</v>
      </c>
      <c r="B1228" s="1"/>
      <c r="C1228" s="1"/>
      <c r="D1228" s="1" t="str">
        <f t="shared" si="431"/>
        <v>偿还融资负债本金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-134.64</v>
      </c>
      <c r="O1228" s="1">
        <v>6.1</v>
      </c>
      <c r="P1228" s="1">
        <v>0</v>
      </c>
    </row>
    <row r="1229" spans="1:16">
      <c r="A1229" s="1" t="str">
        <f>"20181217"</f>
        <v>20181217</v>
      </c>
      <c r="B1229" s="1" t="str">
        <f>"600886"</f>
        <v>600886</v>
      </c>
      <c r="C1229" s="1" t="str">
        <f>"国投电力"</f>
        <v>国投电力</v>
      </c>
      <c r="D1229" s="1" t="str">
        <f>"担保品卖出"</f>
        <v>担保品卖出</v>
      </c>
      <c r="E1229" s="1">
        <v>7.6</v>
      </c>
      <c r="F1229" s="1">
        <v>2000</v>
      </c>
      <c r="G1229" s="1">
        <v>15200</v>
      </c>
      <c r="H1229" s="1">
        <v>5</v>
      </c>
      <c r="I1229" s="1">
        <v>3.96</v>
      </c>
      <c r="J1229" s="1">
        <v>15.2</v>
      </c>
      <c r="K1229" s="1">
        <v>0.3</v>
      </c>
      <c r="L1229" s="1">
        <v>0</v>
      </c>
      <c r="M1229" s="1">
        <v>0</v>
      </c>
      <c r="N1229" s="1">
        <v>15179.5</v>
      </c>
      <c r="O1229" s="1">
        <v>15185.6</v>
      </c>
      <c r="P1229" s="1">
        <v>2800</v>
      </c>
    </row>
    <row r="1230" spans="1:16">
      <c r="A1230" s="1" t="str">
        <f t="shared" ref="A1230:A1236" si="433">"20181220"</f>
        <v>20181220</v>
      </c>
      <c r="B1230" s="1"/>
      <c r="C1230" s="1"/>
      <c r="D1230" s="1" t="str">
        <f>"利息归本"</f>
        <v>利息归本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0.31</v>
      </c>
      <c r="O1230" s="1">
        <v>15185.91</v>
      </c>
      <c r="P1230" s="1">
        <v>0</v>
      </c>
    </row>
    <row r="1231" spans="1:16">
      <c r="A1231" s="1" t="str">
        <f t="shared" si="433"/>
        <v>20181220</v>
      </c>
      <c r="B1231" s="1"/>
      <c r="C1231" s="1"/>
      <c r="D1231" s="1" t="str">
        <f t="shared" si="432"/>
        <v>偿还融资利息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-42.99</v>
      </c>
      <c r="O1231" s="1">
        <v>15142.92</v>
      </c>
      <c r="P1231" s="1">
        <v>0</v>
      </c>
    </row>
    <row r="1232" spans="1:16">
      <c r="A1232" s="1" t="str">
        <f t="shared" si="433"/>
        <v>20181220</v>
      </c>
      <c r="B1232" s="1"/>
      <c r="C1232" s="1"/>
      <c r="D1232" s="1" t="str">
        <f t="shared" si="432"/>
        <v>偿还融资利息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-94.02</v>
      </c>
      <c r="O1232" s="1">
        <v>15048.9</v>
      </c>
      <c r="P1232" s="1">
        <v>0</v>
      </c>
    </row>
    <row r="1233" spans="1:16">
      <c r="A1233" s="1" t="str">
        <f t="shared" si="433"/>
        <v>20181220</v>
      </c>
      <c r="B1233" s="1"/>
      <c r="C1233" s="1"/>
      <c r="D1233" s="1" t="str">
        <f t="shared" si="432"/>
        <v>偿还融资利息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-115.84</v>
      </c>
      <c r="O1233" s="1">
        <v>14933.06</v>
      </c>
      <c r="P1233" s="1">
        <v>0</v>
      </c>
    </row>
    <row r="1234" spans="1:16">
      <c r="A1234" s="1" t="str">
        <f t="shared" si="433"/>
        <v>20181220</v>
      </c>
      <c r="B1234" s="1"/>
      <c r="C1234" s="1"/>
      <c r="D1234" s="1" t="str">
        <f t="shared" si="432"/>
        <v>偿还融资利息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-94.79</v>
      </c>
      <c r="O1234" s="1">
        <v>14838.27</v>
      </c>
      <c r="P1234" s="1">
        <v>0</v>
      </c>
    </row>
    <row r="1235" spans="1:16">
      <c r="A1235" s="1" t="str">
        <f t="shared" si="433"/>
        <v>20181220</v>
      </c>
      <c r="B1235" s="1"/>
      <c r="C1235" s="1"/>
      <c r="D1235" s="1" t="str">
        <f t="shared" si="432"/>
        <v>偿还融资利息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-140.96</v>
      </c>
      <c r="O1235" s="1">
        <v>14697.31</v>
      </c>
      <c r="P1235" s="1">
        <v>0</v>
      </c>
    </row>
    <row r="1236" spans="1:16">
      <c r="A1236" s="1" t="str">
        <f t="shared" si="433"/>
        <v>20181220</v>
      </c>
      <c r="B1236" s="1"/>
      <c r="C1236" s="1"/>
      <c r="D1236" s="1" t="str">
        <f t="shared" si="432"/>
        <v>偿还融资利息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-70.61</v>
      </c>
      <c r="O1236" s="1">
        <v>14626.7</v>
      </c>
      <c r="P1236" s="1">
        <v>0</v>
      </c>
    </row>
    <row r="1237" spans="1:16">
      <c r="A1237" s="1" t="str">
        <f>"20190108"</f>
        <v>20190108</v>
      </c>
      <c r="B1237" s="1"/>
      <c r="C1237" s="1"/>
      <c r="D1237" s="1" t="str">
        <f>"证券转银行"</f>
        <v>证券转银行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-2000</v>
      </c>
      <c r="O1237" s="1">
        <v>12626.7</v>
      </c>
      <c r="P1237" s="1">
        <v>0</v>
      </c>
    </row>
    <row r="1238" spans="1:16">
      <c r="A1238" s="1" t="str">
        <f t="shared" ref="A1238:A1244" si="434">"20190118"</f>
        <v>20190118</v>
      </c>
      <c r="B1238" s="1"/>
      <c r="C1238" s="1"/>
      <c r="D1238" s="1" t="str">
        <f>"证券转银行"</f>
        <v>证券转银行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-5000</v>
      </c>
      <c r="O1238" s="1">
        <v>7626.7</v>
      </c>
      <c r="P1238" s="1">
        <v>0</v>
      </c>
    </row>
    <row r="1239" spans="1:16">
      <c r="A1239" s="1" t="str">
        <f t="shared" si="434"/>
        <v>20190118</v>
      </c>
      <c r="B1239" s="1"/>
      <c r="C1239" s="1"/>
      <c r="D1239" s="1" t="str">
        <f t="shared" ref="D1239:D1250" si="435">"偿还融资利息"</f>
        <v>偿还融资利息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-73.33</v>
      </c>
      <c r="O1239" s="1">
        <v>7553.37</v>
      </c>
      <c r="P1239" s="1">
        <v>0</v>
      </c>
    </row>
    <row r="1240" spans="1:16">
      <c r="A1240" s="1" t="str">
        <f t="shared" si="434"/>
        <v>20190118</v>
      </c>
      <c r="B1240" s="1"/>
      <c r="C1240" s="1"/>
      <c r="D1240" s="1" t="str">
        <f t="shared" si="435"/>
        <v>偿还融资利息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-17.69</v>
      </c>
      <c r="O1240" s="1">
        <v>7535.68</v>
      </c>
      <c r="P1240" s="1">
        <v>0</v>
      </c>
    </row>
    <row r="1241" spans="1:16">
      <c r="A1241" s="1" t="str">
        <f t="shared" si="434"/>
        <v>20190118</v>
      </c>
      <c r="B1241" s="1"/>
      <c r="C1241" s="1"/>
      <c r="D1241" s="1" t="str">
        <f t="shared" si="435"/>
        <v>偿还融资利息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-104.97</v>
      </c>
      <c r="O1241" s="1">
        <v>7430.71</v>
      </c>
      <c r="P1241" s="1">
        <v>0</v>
      </c>
    </row>
    <row r="1242" spans="1:16">
      <c r="A1242" s="1" t="str">
        <f t="shared" si="434"/>
        <v>20190118</v>
      </c>
      <c r="B1242" s="1"/>
      <c r="C1242" s="1"/>
      <c r="D1242" s="1" t="str">
        <f t="shared" si="435"/>
        <v>偿还融资利息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-94.79</v>
      </c>
      <c r="O1242" s="1">
        <v>7335.92</v>
      </c>
      <c r="P1242" s="1">
        <v>0</v>
      </c>
    </row>
    <row r="1243" spans="1:16">
      <c r="A1243" s="1" t="str">
        <f t="shared" si="434"/>
        <v>20190118</v>
      </c>
      <c r="B1243" s="1"/>
      <c r="C1243" s="1"/>
      <c r="D1243" s="1" t="str">
        <f t="shared" si="435"/>
        <v>偿还融资利息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-177.73</v>
      </c>
      <c r="O1243" s="1">
        <v>7158.19</v>
      </c>
      <c r="P1243" s="1">
        <v>0</v>
      </c>
    </row>
    <row r="1244" spans="1:16">
      <c r="A1244" s="1" t="str">
        <f t="shared" si="434"/>
        <v>20190118</v>
      </c>
      <c r="B1244" s="1"/>
      <c r="C1244" s="1"/>
      <c r="D1244" s="1" t="str">
        <f t="shared" si="435"/>
        <v>偿还融资利息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-89.03</v>
      </c>
      <c r="O1244" s="1">
        <v>7069.16</v>
      </c>
      <c r="P1244" s="1">
        <v>0</v>
      </c>
    </row>
    <row r="1245" spans="1:16">
      <c r="A1245" s="1" t="str">
        <f t="shared" ref="A1245:A1250" si="436">"20190220"</f>
        <v>20190220</v>
      </c>
      <c r="B1245" s="1"/>
      <c r="C1245" s="1"/>
      <c r="D1245" s="1" t="str">
        <f t="shared" si="435"/>
        <v>偿还融资利息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-83.43</v>
      </c>
      <c r="O1245" s="1">
        <v>6985.73</v>
      </c>
      <c r="P1245" s="1">
        <v>0</v>
      </c>
    </row>
    <row r="1246" spans="1:16">
      <c r="A1246" s="1" t="str">
        <f t="shared" si="436"/>
        <v>20190220</v>
      </c>
      <c r="B1246" s="1"/>
      <c r="C1246" s="1"/>
      <c r="D1246" s="1" t="str">
        <f t="shared" si="435"/>
        <v>偿还融资利息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-20.13</v>
      </c>
      <c r="O1246" s="1">
        <v>6965.6</v>
      </c>
      <c r="P1246" s="1">
        <v>0</v>
      </c>
    </row>
    <row r="1247" spans="1:16">
      <c r="A1247" s="1" t="str">
        <f t="shared" si="436"/>
        <v>20190220</v>
      </c>
      <c r="B1247" s="1"/>
      <c r="C1247" s="1"/>
      <c r="D1247" s="1" t="str">
        <f t="shared" si="435"/>
        <v>偿还融资利息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-119.44</v>
      </c>
      <c r="O1247" s="1">
        <v>6846.16</v>
      </c>
      <c r="P1247" s="1">
        <v>0</v>
      </c>
    </row>
    <row r="1248" spans="1:16">
      <c r="A1248" s="1" t="str">
        <f t="shared" si="436"/>
        <v>20190220</v>
      </c>
      <c r="B1248" s="1"/>
      <c r="C1248" s="1"/>
      <c r="D1248" s="1" t="str">
        <f t="shared" si="435"/>
        <v>偿还融资利息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-107.85</v>
      </c>
      <c r="O1248" s="1">
        <v>6738.31</v>
      </c>
      <c r="P1248" s="1">
        <v>0</v>
      </c>
    </row>
    <row r="1249" spans="1:16">
      <c r="A1249" s="1" t="str">
        <f t="shared" si="436"/>
        <v>20190220</v>
      </c>
      <c r="B1249" s="1"/>
      <c r="C1249" s="1"/>
      <c r="D1249" s="1" t="str">
        <f t="shared" si="435"/>
        <v>偿还融资利息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-202.23</v>
      </c>
      <c r="O1249" s="1">
        <v>6536.08</v>
      </c>
      <c r="P1249" s="1">
        <v>0</v>
      </c>
    </row>
    <row r="1250" spans="1:16">
      <c r="A1250" s="1" t="str">
        <f t="shared" si="436"/>
        <v>20190220</v>
      </c>
      <c r="B1250" s="1"/>
      <c r="C1250" s="1"/>
      <c r="D1250" s="1" t="str">
        <f t="shared" si="435"/>
        <v>偿还融资利息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-101.3</v>
      </c>
      <c r="O1250" s="1">
        <v>6434.78</v>
      </c>
      <c r="P1250" s="1">
        <v>0</v>
      </c>
    </row>
    <row r="1251" spans="1:16">
      <c r="A1251" s="1" t="str">
        <f>"20190222"</f>
        <v>20190222</v>
      </c>
      <c r="B1251" s="1" t="str">
        <f>"600172"</f>
        <v>600172</v>
      </c>
      <c r="C1251" s="1" t="str">
        <f>"黄河旋风"</f>
        <v>黄河旋风</v>
      </c>
      <c r="D1251" s="1" t="str">
        <f>"担保品买入"</f>
        <v>担保品买入</v>
      </c>
      <c r="E1251" s="1">
        <v>3.86</v>
      </c>
      <c r="F1251" s="1">
        <v>1600</v>
      </c>
      <c r="G1251" s="1">
        <v>6176</v>
      </c>
      <c r="H1251" s="1">
        <v>5</v>
      </c>
      <c r="I1251" s="1">
        <v>4.58</v>
      </c>
      <c r="J1251" s="1">
        <v>0</v>
      </c>
      <c r="K1251" s="1">
        <v>0.12</v>
      </c>
      <c r="L1251" s="1">
        <v>0</v>
      </c>
      <c r="M1251" s="1">
        <v>0</v>
      </c>
      <c r="N1251" s="1">
        <v>-6181.12</v>
      </c>
      <c r="O1251" s="1">
        <v>253.66</v>
      </c>
      <c r="P1251" s="1">
        <v>1600</v>
      </c>
    </row>
    <row r="1252" spans="1:16">
      <c r="A1252" s="1" t="str">
        <f>"20190226"</f>
        <v>20190226</v>
      </c>
      <c r="B1252" s="1" t="str">
        <f>"600172"</f>
        <v>600172</v>
      </c>
      <c r="C1252" s="1" t="str">
        <f>"黄河旋风"</f>
        <v>黄河旋风</v>
      </c>
      <c r="D1252" s="1" t="str">
        <f>"担保品卖出"</f>
        <v>担保品卖出</v>
      </c>
      <c r="E1252" s="1">
        <v>3.99</v>
      </c>
      <c r="F1252" s="1">
        <v>1600</v>
      </c>
      <c r="G1252" s="1">
        <v>6384</v>
      </c>
      <c r="H1252" s="1">
        <v>5</v>
      </c>
      <c r="I1252" s="1">
        <v>4.56</v>
      </c>
      <c r="J1252" s="1">
        <v>6.38</v>
      </c>
      <c r="K1252" s="1">
        <v>0.13</v>
      </c>
      <c r="L1252" s="1">
        <v>0</v>
      </c>
      <c r="M1252" s="1">
        <v>0</v>
      </c>
      <c r="N1252" s="1">
        <v>6372.49</v>
      </c>
      <c r="O1252" s="1">
        <v>6626.15</v>
      </c>
      <c r="P1252" s="1">
        <v>0</v>
      </c>
    </row>
    <row r="1253" spans="1:16">
      <c r="A1253" s="1" t="str">
        <f t="shared" ref="A1253:A1260" si="437">"20190308"</f>
        <v>20190308</v>
      </c>
      <c r="B1253" s="1" t="str">
        <f>"000050"</f>
        <v>000050</v>
      </c>
      <c r="C1253" s="1" t="str">
        <f>"深天马Ａ"</f>
        <v>深天马Ａ</v>
      </c>
      <c r="D1253" s="1" t="str">
        <f>"担保品卖出"</f>
        <v>担保品卖出</v>
      </c>
      <c r="E1253" s="1">
        <v>20.2</v>
      </c>
      <c r="F1253" s="1">
        <v>900</v>
      </c>
      <c r="G1253" s="1">
        <v>18180</v>
      </c>
      <c r="H1253" s="1">
        <v>5.64</v>
      </c>
      <c r="I1253" s="1">
        <v>4.03</v>
      </c>
      <c r="J1253" s="1">
        <v>18.18</v>
      </c>
      <c r="K1253" s="1">
        <v>0</v>
      </c>
      <c r="L1253" s="1">
        <v>0</v>
      </c>
      <c r="M1253" s="1">
        <v>0</v>
      </c>
      <c r="N1253" s="1">
        <v>18156.18</v>
      </c>
      <c r="O1253" s="1">
        <v>24782.33</v>
      </c>
      <c r="P1253" s="1">
        <v>0</v>
      </c>
    </row>
    <row r="1254" spans="1:16">
      <c r="A1254" s="1" t="str">
        <f t="shared" si="437"/>
        <v>20190308</v>
      </c>
      <c r="B1254" s="1" t="str">
        <f>"000543"</f>
        <v>000543</v>
      </c>
      <c r="C1254" s="1" t="str">
        <f>"皖能电力"</f>
        <v>皖能电力</v>
      </c>
      <c r="D1254" s="1" t="str">
        <f>"卖券还款"</f>
        <v>卖券还款</v>
      </c>
      <c r="E1254" s="1">
        <v>5.58</v>
      </c>
      <c r="F1254" s="1">
        <v>3000</v>
      </c>
      <c r="G1254" s="1">
        <v>16740</v>
      </c>
      <c r="H1254" s="1">
        <v>8.37</v>
      </c>
      <c r="I1254" s="1">
        <v>6.89</v>
      </c>
      <c r="J1254" s="1">
        <v>16.74</v>
      </c>
      <c r="K1254" s="1">
        <v>0</v>
      </c>
      <c r="L1254" s="1">
        <v>0</v>
      </c>
      <c r="M1254" s="1">
        <v>0</v>
      </c>
      <c r="N1254" s="1">
        <v>16714.89</v>
      </c>
      <c r="O1254" s="1">
        <v>41497.22</v>
      </c>
      <c r="P1254" s="1">
        <v>7000</v>
      </c>
    </row>
    <row r="1255" spans="1:16">
      <c r="A1255" s="1" t="str">
        <f t="shared" si="437"/>
        <v>20190308</v>
      </c>
      <c r="B1255" s="1"/>
      <c r="C1255" s="1"/>
      <c r="D1255" s="1" t="str">
        <f t="shared" ref="D1255:D1259" si="438">"偿还融资利息"</f>
        <v>偿还融资利息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-37.93</v>
      </c>
      <c r="O1255" s="1">
        <v>41459.29</v>
      </c>
      <c r="P1255" s="1">
        <v>0</v>
      </c>
    </row>
    <row r="1256" spans="1:16">
      <c r="A1256" s="1" t="str">
        <f t="shared" si="437"/>
        <v>20190308</v>
      </c>
      <c r="B1256" s="1"/>
      <c r="C1256" s="1"/>
      <c r="D1256" s="1" t="str">
        <f t="shared" ref="D1256:D1260" si="439">"偿还融资负债本金"</f>
        <v>偿还融资负债本金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-10893.29</v>
      </c>
      <c r="O1256" s="1">
        <v>30566</v>
      </c>
      <c r="P1256" s="1">
        <v>0</v>
      </c>
    </row>
    <row r="1257" spans="1:16">
      <c r="A1257" s="1" t="str">
        <f t="shared" si="437"/>
        <v>20190308</v>
      </c>
      <c r="B1257" s="1"/>
      <c r="C1257" s="1"/>
      <c r="D1257" s="1" t="str">
        <f t="shared" si="438"/>
        <v>偿还融资利息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-9.15</v>
      </c>
      <c r="O1257" s="1">
        <v>30556.85</v>
      </c>
      <c r="P1257" s="1">
        <v>0</v>
      </c>
    </row>
    <row r="1258" spans="1:16">
      <c r="A1258" s="1" t="str">
        <f t="shared" si="437"/>
        <v>20190308</v>
      </c>
      <c r="B1258" s="1"/>
      <c r="C1258" s="1"/>
      <c r="D1258" s="1" t="str">
        <f t="shared" si="439"/>
        <v>偿还融资负债本金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-2628.62</v>
      </c>
      <c r="O1258" s="1">
        <v>27928.23</v>
      </c>
      <c r="P1258" s="1">
        <v>0</v>
      </c>
    </row>
    <row r="1259" spans="1:16">
      <c r="A1259" s="1" t="str">
        <f t="shared" si="437"/>
        <v>20190308</v>
      </c>
      <c r="B1259" s="1"/>
      <c r="C1259" s="1"/>
      <c r="D1259" s="1" t="str">
        <f t="shared" si="438"/>
        <v>偿还融资利息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-54.3</v>
      </c>
      <c r="O1259" s="1">
        <v>27873.93</v>
      </c>
      <c r="P1259" s="1">
        <v>0</v>
      </c>
    </row>
    <row r="1260" spans="1:16">
      <c r="A1260" s="1" t="str">
        <f t="shared" si="437"/>
        <v>20190308</v>
      </c>
      <c r="B1260" s="1"/>
      <c r="C1260" s="1"/>
      <c r="D1260" s="1" t="str">
        <f t="shared" si="439"/>
        <v>偿还融资负债本金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-3049.75</v>
      </c>
      <c r="O1260" s="1">
        <v>24824.18</v>
      </c>
      <c r="P1260" s="1">
        <v>0</v>
      </c>
    </row>
    <row r="1261" spans="1:16">
      <c r="A1261" s="1" t="str">
        <f>"20190315"</f>
        <v>20190315</v>
      </c>
      <c r="B1261" s="1"/>
      <c r="C1261" s="1"/>
      <c r="D1261" s="1" t="str">
        <f>"证券转银行"</f>
        <v>证券转银行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-2000</v>
      </c>
      <c r="O1261" s="1">
        <v>22824.18</v>
      </c>
      <c r="P1261" s="1">
        <v>0</v>
      </c>
    </row>
    <row r="1262" spans="1:16">
      <c r="A1262" s="1" t="str">
        <f t="shared" ref="A1262:A1266" si="440">"20190320"</f>
        <v>20190320</v>
      </c>
      <c r="B1262" s="1"/>
      <c r="C1262" s="1"/>
      <c r="D1262" s="1" t="str">
        <f>"利息归本"</f>
        <v>利息归本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9.28</v>
      </c>
      <c r="O1262" s="1">
        <v>22833.46</v>
      </c>
      <c r="P1262" s="1">
        <v>0</v>
      </c>
    </row>
    <row r="1263" spans="1:16">
      <c r="A1263" s="1" t="str">
        <f t="shared" si="440"/>
        <v>20190320</v>
      </c>
      <c r="B1263" s="1"/>
      <c r="C1263" s="1"/>
      <c r="D1263" s="1" t="str">
        <f t="shared" ref="D1263:D1267" si="441">"偿还融资利息"</f>
        <v>偿还融资利息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-37.83</v>
      </c>
      <c r="O1263" s="1">
        <v>22795.63</v>
      </c>
      <c r="P1263" s="1">
        <v>0</v>
      </c>
    </row>
    <row r="1264" spans="1:16">
      <c r="A1264" s="1" t="str">
        <f t="shared" si="440"/>
        <v>20190320</v>
      </c>
      <c r="B1264" s="1"/>
      <c r="C1264" s="1"/>
      <c r="D1264" s="1" t="str">
        <f t="shared" si="441"/>
        <v>偿还融资利息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-91.52</v>
      </c>
      <c r="O1264" s="1">
        <v>22704.11</v>
      </c>
      <c r="P1264" s="1">
        <v>0</v>
      </c>
    </row>
    <row r="1265" spans="1:16">
      <c r="A1265" s="1" t="str">
        <f t="shared" si="440"/>
        <v>20190320</v>
      </c>
      <c r="B1265" s="1"/>
      <c r="C1265" s="1"/>
      <c r="D1265" s="1" t="str">
        <f t="shared" si="441"/>
        <v>偿还融资利息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-171.6</v>
      </c>
      <c r="O1265" s="1">
        <v>22532.51</v>
      </c>
      <c r="P1265" s="1">
        <v>0</v>
      </c>
    </row>
    <row r="1266" spans="1:16">
      <c r="A1266" s="1" t="str">
        <f t="shared" si="440"/>
        <v>20190320</v>
      </c>
      <c r="B1266" s="1"/>
      <c r="C1266" s="1"/>
      <c r="D1266" s="1" t="str">
        <f t="shared" si="441"/>
        <v>偿还融资利息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-85.96</v>
      </c>
      <c r="O1266" s="1">
        <v>22446.55</v>
      </c>
      <c r="P1266" s="1">
        <v>0</v>
      </c>
    </row>
    <row r="1267" spans="1:16">
      <c r="A1267" s="1" t="str">
        <f>"20190322"</f>
        <v>20190322</v>
      </c>
      <c r="B1267" s="1"/>
      <c r="C1267" s="1"/>
      <c r="D1267" s="1" t="str">
        <f t="shared" si="441"/>
        <v>偿还融资利息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-2.91</v>
      </c>
      <c r="O1267" s="1">
        <v>22443.64</v>
      </c>
      <c r="P1267" s="1">
        <v>0</v>
      </c>
    </row>
    <row r="1268" spans="1:16">
      <c r="A1268" s="1" t="str">
        <f>"20190322"</f>
        <v>20190322</v>
      </c>
      <c r="B1268" s="1"/>
      <c r="C1268" s="1"/>
      <c r="D1268" s="1" t="str">
        <f t="shared" ref="D1268:D1273" si="442">"偿还融资负债本金"</f>
        <v>偿还融资负债本金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-1997.09</v>
      </c>
      <c r="O1268" s="1">
        <v>20446.55</v>
      </c>
      <c r="P1268" s="1">
        <v>0</v>
      </c>
    </row>
    <row r="1269" spans="1:16">
      <c r="A1269" s="1" t="str">
        <f t="shared" ref="A1269:A1273" si="443">"20190325"</f>
        <v>20190325</v>
      </c>
      <c r="B1269" s="1" t="str">
        <f>"002183"</f>
        <v>002183</v>
      </c>
      <c r="C1269" s="1" t="str">
        <f>"怡 亚 通"</f>
        <v>怡 亚 通</v>
      </c>
      <c r="D1269" s="1" t="str">
        <f>"卖券还款"</f>
        <v>卖券还款</v>
      </c>
      <c r="E1269" s="1">
        <v>6.02</v>
      </c>
      <c r="F1269" s="1">
        <v>2500</v>
      </c>
      <c r="G1269" s="1">
        <v>15050</v>
      </c>
      <c r="H1269" s="1">
        <v>7.53</v>
      </c>
      <c r="I1269" s="1">
        <v>6.2</v>
      </c>
      <c r="J1269" s="1">
        <v>15.05</v>
      </c>
      <c r="K1269" s="1">
        <v>0</v>
      </c>
      <c r="L1269" s="1">
        <v>0</v>
      </c>
      <c r="M1269" s="1">
        <v>0</v>
      </c>
      <c r="N1269" s="1">
        <v>15027.42</v>
      </c>
      <c r="O1269" s="1">
        <v>35473.97</v>
      </c>
      <c r="P1269" s="1">
        <v>7500</v>
      </c>
    </row>
    <row r="1270" spans="1:16">
      <c r="A1270" s="1" t="str">
        <f t="shared" si="443"/>
        <v>20190325</v>
      </c>
      <c r="B1270" s="1"/>
      <c r="C1270" s="1"/>
      <c r="D1270" s="1" t="str">
        <f>"偿还融资利息"</f>
        <v>偿还融资利息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-7.34</v>
      </c>
      <c r="O1270" s="1">
        <v>35466.63</v>
      </c>
      <c r="P1270" s="1">
        <v>0</v>
      </c>
    </row>
    <row r="1271" spans="1:16">
      <c r="A1271" s="1" t="str">
        <f t="shared" si="443"/>
        <v>20190325</v>
      </c>
      <c r="B1271" s="1"/>
      <c r="C1271" s="1"/>
      <c r="D1271" s="1" t="str">
        <f t="shared" si="442"/>
        <v>偿还融资负债本金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-10550.96</v>
      </c>
      <c r="O1271" s="1">
        <v>24915.67</v>
      </c>
      <c r="P1271" s="1">
        <v>0</v>
      </c>
    </row>
    <row r="1272" spans="1:16">
      <c r="A1272" s="1" t="str">
        <f t="shared" si="443"/>
        <v>20190325</v>
      </c>
      <c r="B1272" s="1"/>
      <c r="C1272" s="1"/>
      <c r="D1272" s="1" t="str">
        <f>"偿还融资利息"</f>
        <v>偿还融资利息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-13.07</v>
      </c>
      <c r="O1272" s="1">
        <v>24902.6</v>
      </c>
      <c r="P1272" s="1">
        <v>0</v>
      </c>
    </row>
    <row r="1273" spans="1:16">
      <c r="A1273" s="1" t="str">
        <f t="shared" si="443"/>
        <v>20190325</v>
      </c>
      <c r="B1273" s="1"/>
      <c r="C1273" s="1"/>
      <c r="D1273" s="1" t="str">
        <f t="shared" si="442"/>
        <v>偿还融资负债本金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-4418.43</v>
      </c>
      <c r="O1273" s="1">
        <v>20484.17</v>
      </c>
      <c r="P1273" s="1">
        <v>0</v>
      </c>
    </row>
    <row r="1274" spans="1:16">
      <c r="A1274" s="1" t="str">
        <f>"20190326"</f>
        <v>20190326</v>
      </c>
      <c r="B1274" s="1" t="str">
        <f>"000543"</f>
        <v>000543</v>
      </c>
      <c r="C1274" s="1" t="str">
        <f>"皖能电力"</f>
        <v>皖能电力</v>
      </c>
      <c r="D1274" s="1" t="str">
        <f>"融资买入"</f>
        <v>融资买入</v>
      </c>
      <c r="E1274" s="1">
        <v>5.37</v>
      </c>
      <c r="F1274" s="1">
        <v>3000</v>
      </c>
      <c r="G1274" s="1">
        <v>16110</v>
      </c>
      <c r="H1274" s="1">
        <v>8.06</v>
      </c>
      <c r="I1274" s="1">
        <v>6.62</v>
      </c>
      <c r="J1274" s="1">
        <v>0</v>
      </c>
      <c r="K1274" s="1">
        <v>0</v>
      </c>
      <c r="L1274" s="1">
        <v>0</v>
      </c>
      <c r="M1274" s="1">
        <v>0</v>
      </c>
      <c r="N1274" s="1">
        <v>-16118.06</v>
      </c>
      <c r="O1274" s="1">
        <v>4366.11</v>
      </c>
      <c r="P1274" s="1">
        <v>10000</v>
      </c>
    </row>
    <row r="1275" spans="1:16">
      <c r="A1275" s="1" t="str">
        <f>"20190326"</f>
        <v>20190326</v>
      </c>
      <c r="B1275" s="1"/>
      <c r="C1275" s="1"/>
      <c r="D1275" s="1" t="str">
        <f>"融资借入"</f>
        <v>融资借入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16118.06</v>
      </c>
      <c r="O1275" s="1">
        <v>20484.17</v>
      </c>
      <c r="P1275" s="1">
        <v>0</v>
      </c>
    </row>
    <row r="1276" spans="1:16">
      <c r="A1276" s="1" t="str">
        <f t="shared" ref="A1276:A1280" si="444">"20190415"</f>
        <v>20190415</v>
      </c>
      <c r="B1276" s="1" t="str">
        <f>"000543"</f>
        <v>000543</v>
      </c>
      <c r="C1276" s="1" t="str">
        <f>"皖能电力"</f>
        <v>皖能电力</v>
      </c>
      <c r="D1276" s="1" t="str">
        <f>"卖券还款"</f>
        <v>卖券还款</v>
      </c>
      <c r="E1276" s="1">
        <v>5.51</v>
      </c>
      <c r="F1276" s="1">
        <v>3000</v>
      </c>
      <c r="G1276" s="1">
        <v>16530</v>
      </c>
      <c r="H1276" s="1">
        <v>8.27</v>
      </c>
      <c r="I1276" s="1">
        <v>6.81</v>
      </c>
      <c r="J1276" s="1">
        <v>16.53</v>
      </c>
      <c r="K1276" s="1">
        <v>0</v>
      </c>
      <c r="L1276" s="1">
        <v>0</v>
      </c>
      <c r="M1276" s="1">
        <v>0</v>
      </c>
      <c r="N1276" s="1">
        <v>16505.2</v>
      </c>
      <c r="O1276" s="1">
        <v>36989.37</v>
      </c>
      <c r="P1276" s="1">
        <v>7000</v>
      </c>
    </row>
    <row r="1277" spans="1:16">
      <c r="A1277" s="1" t="str">
        <f t="shared" si="444"/>
        <v>20190415</v>
      </c>
      <c r="B1277" s="1"/>
      <c r="C1277" s="1"/>
      <c r="D1277" s="1" t="str">
        <f t="shared" ref="D1277:D1284" si="445">"偿还融资利息"</f>
        <v>偿还融资利息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-47.04</v>
      </c>
      <c r="O1277" s="1">
        <v>36942.33</v>
      </c>
      <c r="P1277" s="1">
        <v>0</v>
      </c>
    </row>
    <row r="1278" spans="1:16">
      <c r="A1278" s="1" t="str">
        <f t="shared" si="444"/>
        <v>20190415</v>
      </c>
      <c r="B1278" s="1"/>
      <c r="C1278" s="1"/>
      <c r="D1278" s="1" t="str">
        <f>"偿还融资负债本金"</f>
        <v>偿还融资负债本金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-9663.61</v>
      </c>
      <c r="O1278" s="1">
        <v>27278.72</v>
      </c>
      <c r="P1278" s="1">
        <v>0</v>
      </c>
    </row>
    <row r="1279" spans="1:16">
      <c r="A1279" s="1" t="str">
        <f t="shared" si="444"/>
        <v>20190415</v>
      </c>
      <c r="B1279" s="1"/>
      <c r="C1279" s="1"/>
      <c r="D1279" s="1" t="str">
        <f t="shared" si="445"/>
        <v>偿还融资利息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-153.21</v>
      </c>
      <c r="O1279" s="1">
        <v>27125.51</v>
      </c>
      <c r="P1279" s="1">
        <v>0</v>
      </c>
    </row>
    <row r="1280" spans="1:16">
      <c r="A1280" s="1" t="str">
        <f t="shared" si="444"/>
        <v>20190415</v>
      </c>
      <c r="B1280" s="1"/>
      <c r="C1280" s="1"/>
      <c r="D1280" s="1" t="str">
        <f>"偿还融资负债本金"</f>
        <v>偿还融资负债本金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-6600.02</v>
      </c>
      <c r="O1280" s="1">
        <v>20525.49</v>
      </c>
      <c r="P1280" s="1">
        <v>0</v>
      </c>
    </row>
    <row r="1281" spans="1:16">
      <c r="A1281" s="1" t="str">
        <f>"20190417"</f>
        <v>20190417</v>
      </c>
      <c r="B1281" s="1" t="str">
        <f>"000768"</f>
        <v>000768</v>
      </c>
      <c r="C1281" s="1" t="str">
        <f>"中航飞机"</f>
        <v>中航飞机</v>
      </c>
      <c r="D1281" s="1" t="str">
        <f>"担保品买入"</f>
        <v>担保品买入</v>
      </c>
      <c r="E1281" s="1">
        <v>17.41</v>
      </c>
      <c r="F1281" s="1">
        <v>500</v>
      </c>
      <c r="G1281" s="1">
        <v>8705</v>
      </c>
      <c r="H1281" s="1">
        <v>5</v>
      </c>
      <c r="I1281" s="1">
        <v>4.24</v>
      </c>
      <c r="J1281" s="1">
        <v>0</v>
      </c>
      <c r="K1281" s="1">
        <v>0</v>
      </c>
      <c r="L1281" s="1">
        <v>0</v>
      </c>
      <c r="M1281" s="1">
        <v>0</v>
      </c>
      <c r="N1281" s="1">
        <v>-8710</v>
      </c>
      <c r="O1281" s="1">
        <v>11815.49</v>
      </c>
      <c r="P1281" s="1">
        <v>500</v>
      </c>
    </row>
    <row r="1282" spans="1:16">
      <c r="A1282" s="1" t="str">
        <f t="shared" ref="A1282:A1284" si="446">"20190419"</f>
        <v>20190419</v>
      </c>
      <c r="B1282" s="1"/>
      <c r="C1282" s="1"/>
      <c r="D1282" s="1" t="str">
        <f t="shared" si="445"/>
        <v>偿还融资利息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-23</v>
      </c>
      <c r="O1282" s="1">
        <v>11792.49</v>
      </c>
      <c r="P1282" s="1">
        <v>0</v>
      </c>
    </row>
    <row r="1283" spans="1:16">
      <c r="A1283" s="1" t="str">
        <f t="shared" si="446"/>
        <v>20190419</v>
      </c>
      <c r="B1283" s="1"/>
      <c r="C1283" s="1"/>
      <c r="D1283" s="1" t="str">
        <f t="shared" si="445"/>
        <v>偿还融资利息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-92.1</v>
      </c>
      <c r="O1283" s="1">
        <v>11700.39</v>
      </c>
      <c r="P1283" s="1">
        <v>0</v>
      </c>
    </row>
    <row r="1284" spans="1:16">
      <c r="A1284" s="1" t="str">
        <f t="shared" si="446"/>
        <v>20190419</v>
      </c>
      <c r="B1284" s="1"/>
      <c r="C1284" s="1"/>
      <c r="D1284" s="1" t="str">
        <f t="shared" si="445"/>
        <v>偿还融资利息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-93.5</v>
      </c>
      <c r="O1284" s="1">
        <v>11606.89</v>
      </c>
      <c r="P1284" s="1">
        <v>0</v>
      </c>
    </row>
    <row r="1285" spans="1:16">
      <c r="A1285" s="1" t="str">
        <f>"20190423"</f>
        <v>20190423</v>
      </c>
      <c r="B1285" s="1" t="str">
        <f>"000543"</f>
        <v>000543</v>
      </c>
      <c r="C1285" s="1" t="str">
        <f>"皖能电力"</f>
        <v>皖能电力</v>
      </c>
      <c r="D1285" s="1" t="str">
        <f t="shared" ref="D1285:D1289" si="447">"融资买入"</f>
        <v>融资买入</v>
      </c>
      <c r="E1285" s="1">
        <v>5.38</v>
      </c>
      <c r="F1285" s="1">
        <v>3000</v>
      </c>
      <c r="G1285" s="1">
        <v>16140</v>
      </c>
      <c r="H1285" s="1">
        <v>8.07</v>
      </c>
      <c r="I1285" s="1">
        <v>6.64</v>
      </c>
      <c r="J1285" s="1">
        <v>0</v>
      </c>
      <c r="K1285" s="1">
        <v>0</v>
      </c>
      <c r="L1285" s="1">
        <v>0</v>
      </c>
      <c r="M1285" s="1">
        <v>0</v>
      </c>
      <c r="N1285" s="1">
        <v>-16148.07</v>
      </c>
      <c r="O1285" s="1">
        <v>-4541.18</v>
      </c>
      <c r="P1285" s="1">
        <v>10000</v>
      </c>
    </row>
    <row r="1286" spans="1:16">
      <c r="A1286" s="1" t="str">
        <f>"20190423"</f>
        <v>20190423</v>
      </c>
      <c r="B1286" s="1"/>
      <c r="C1286" s="1"/>
      <c r="D1286" s="1" t="str">
        <f t="shared" ref="D1286:D1290" si="448">"融资借入"</f>
        <v>融资借入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16148.07</v>
      </c>
      <c r="O1286" s="1">
        <v>11606.89</v>
      </c>
      <c r="P1286" s="1">
        <v>0</v>
      </c>
    </row>
    <row r="1287" spans="1:16">
      <c r="A1287" s="1" t="str">
        <f>"20190424"</f>
        <v>20190424</v>
      </c>
      <c r="B1287" s="1" t="str">
        <f>"600066"</f>
        <v>600066</v>
      </c>
      <c r="C1287" s="1" t="str">
        <f>"宇通客车"</f>
        <v>宇通客车</v>
      </c>
      <c r="D1287" s="1" t="str">
        <f t="shared" si="447"/>
        <v>融资买入</v>
      </c>
      <c r="E1287" s="1">
        <v>15.84</v>
      </c>
      <c r="F1287" s="1">
        <v>500</v>
      </c>
      <c r="G1287" s="1">
        <v>7920</v>
      </c>
      <c r="H1287" s="1">
        <v>5</v>
      </c>
      <c r="I1287" s="1">
        <v>4.45</v>
      </c>
      <c r="J1287" s="1">
        <v>0</v>
      </c>
      <c r="K1287" s="1">
        <v>0.16</v>
      </c>
      <c r="L1287" s="1">
        <v>0</v>
      </c>
      <c r="M1287" s="1">
        <v>0</v>
      </c>
      <c r="N1287" s="1">
        <v>-7925.16</v>
      </c>
      <c r="O1287" s="1">
        <v>3681.73</v>
      </c>
      <c r="P1287" s="1">
        <v>500</v>
      </c>
    </row>
    <row r="1288" spans="1:16">
      <c r="A1288" s="1" t="str">
        <f>"20190424"</f>
        <v>20190424</v>
      </c>
      <c r="B1288" s="1"/>
      <c r="C1288" s="1"/>
      <c r="D1288" s="1" t="str">
        <f t="shared" si="448"/>
        <v>融资借入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7925.16</v>
      </c>
      <c r="O1288" s="1">
        <v>11606.89</v>
      </c>
      <c r="P1288" s="1">
        <v>0</v>
      </c>
    </row>
    <row r="1289" spans="1:16">
      <c r="A1289" s="1" t="str">
        <f>"20190507"</f>
        <v>20190507</v>
      </c>
      <c r="B1289" s="1" t="str">
        <f>"002183"</f>
        <v>002183</v>
      </c>
      <c r="C1289" s="1" t="str">
        <f>"怡 亚 通"</f>
        <v>怡 亚 通</v>
      </c>
      <c r="D1289" s="1" t="str">
        <f t="shared" si="447"/>
        <v>融资买入</v>
      </c>
      <c r="E1289" s="1">
        <v>5.02</v>
      </c>
      <c r="F1289" s="1">
        <v>2500</v>
      </c>
      <c r="G1289" s="1">
        <v>12550</v>
      </c>
      <c r="H1289" s="1">
        <v>6.28</v>
      </c>
      <c r="I1289" s="1">
        <v>5.17</v>
      </c>
      <c r="J1289" s="1">
        <v>0</v>
      </c>
      <c r="K1289" s="1">
        <v>0</v>
      </c>
      <c r="L1289" s="1">
        <v>0</v>
      </c>
      <c r="M1289" s="1">
        <v>0</v>
      </c>
      <c r="N1289" s="1">
        <v>-12556.28</v>
      </c>
      <c r="O1289" s="1">
        <v>-949.39</v>
      </c>
      <c r="P1289" s="1">
        <v>10000</v>
      </c>
    </row>
    <row r="1290" spans="1:16">
      <c r="A1290" s="1" t="str">
        <f>"20190507"</f>
        <v>20190507</v>
      </c>
      <c r="B1290" s="1"/>
      <c r="C1290" s="1"/>
      <c r="D1290" s="1" t="str">
        <f t="shared" si="448"/>
        <v>融资借入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12556.28</v>
      </c>
      <c r="O1290" s="1">
        <v>11606.89</v>
      </c>
      <c r="P1290" s="1">
        <v>0</v>
      </c>
    </row>
    <row r="1291" spans="1:16">
      <c r="A1291" s="1" t="str">
        <f t="shared" ref="A1291:A1293" si="449">"20190510"</f>
        <v>20190510</v>
      </c>
      <c r="B1291" s="1" t="str">
        <f>"000768"</f>
        <v>000768</v>
      </c>
      <c r="C1291" s="1" t="str">
        <f>"中航飞机"</f>
        <v>中航飞机</v>
      </c>
      <c r="D1291" s="1" t="str">
        <f>"融资买入"</f>
        <v>融资买入</v>
      </c>
      <c r="E1291" s="1">
        <v>15.77</v>
      </c>
      <c r="F1291" s="1">
        <v>500</v>
      </c>
      <c r="G1291" s="1">
        <v>7885</v>
      </c>
      <c r="H1291" s="1">
        <v>5</v>
      </c>
      <c r="I1291" s="1">
        <v>4.3</v>
      </c>
      <c r="J1291" s="1">
        <v>0</v>
      </c>
      <c r="K1291" s="1">
        <v>0</v>
      </c>
      <c r="L1291" s="1">
        <v>0</v>
      </c>
      <c r="M1291" s="1">
        <v>0</v>
      </c>
      <c r="N1291" s="1">
        <v>-7890</v>
      </c>
      <c r="O1291" s="1">
        <v>3716.89</v>
      </c>
      <c r="P1291" s="1">
        <v>1000</v>
      </c>
    </row>
    <row r="1292" spans="1:16">
      <c r="A1292" s="1" t="str">
        <f t="shared" si="449"/>
        <v>20190510</v>
      </c>
      <c r="B1292" s="1" t="str">
        <f>"000601"</f>
        <v>000601</v>
      </c>
      <c r="C1292" s="1" t="str">
        <f>"韶能股份"</f>
        <v>韶能股份</v>
      </c>
      <c r="D1292" s="1" t="str">
        <f>"担保品买入"</f>
        <v>担保品买入</v>
      </c>
      <c r="E1292" s="1">
        <v>4.66</v>
      </c>
      <c r="F1292" s="1">
        <v>2400</v>
      </c>
      <c r="G1292" s="1">
        <v>11184</v>
      </c>
      <c r="H1292" s="1">
        <v>5</v>
      </c>
      <c r="I1292" s="1">
        <v>4.02</v>
      </c>
      <c r="J1292" s="1">
        <v>0</v>
      </c>
      <c r="K1292" s="1">
        <v>0</v>
      </c>
      <c r="L1292" s="1">
        <v>0</v>
      </c>
      <c r="M1292" s="1">
        <v>0</v>
      </c>
      <c r="N1292" s="1">
        <v>-11189</v>
      </c>
      <c r="O1292" s="1">
        <v>-7472.11</v>
      </c>
      <c r="P1292" s="1">
        <v>37400</v>
      </c>
    </row>
    <row r="1293" spans="1:16">
      <c r="A1293" s="1" t="str">
        <f t="shared" si="449"/>
        <v>20190510</v>
      </c>
      <c r="B1293" s="1"/>
      <c r="C1293" s="1"/>
      <c r="D1293" s="1" t="str">
        <f>"融资借入"</f>
        <v>融资借入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7890</v>
      </c>
      <c r="O1293" s="1">
        <v>417.89</v>
      </c>
      <c r="P1293" s="1">
        <v>0</v>
      </c>
    </row>
    <row r="1294" spans="1:16">
      <c r="A1294" s="1" t="str">
        <f>"20190514"</f>
        <v>20190514</v>
      </c>
      <c r="B1294" s="1" t="str">
        <f>"600066"</f>
        <v>600066</v>
      </c>
      <c r="C1294" s="1" t="str">
        <f>"宇通客车"</f>
        <v>宇通客车</v>
      </c>
      <c r="D1294" s="1" t="str">
        <f>"红利入账"</f>
        <v>红利入账</v>
      </c>
      <c r="E1294" s="1">
        <v>0</v>
      </c>
      <c r="F1294" s="1">
        <v>500</v>
      </c>
      <c r="G1294" s="1">
        <v>250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250</v>
      </c>
      <c r="O1294" s="1">
        <v>667.89</v>
      </c>
      <c r="P1294" s="1">
        <v>0</v>
      </c>
    </row>
    <row r="1295" spans="1:16">
      <c r="A1295" s="1" t="str">
        <f t="shared" ref="A1295:A1301" si="450">"20190520"</f>
        <v>20190520</v>
      </c>
      <c r="B1295" s="1"/>
      <c r="C1295" s="1"/>
      <c r="D1295" s="1" t="str">
        <f t="shared" ref="D1295:D1301" si="451">"偿还融资利息"</f>
        <v>偿还融资利息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-142.54</v>
      </c>
      <c r="O1295" s="1">
        <v>525.35</v>
      </c>
      <c r="P1295" s="1">
        <v>0</v>
      </c>
    </row>
    <row r="1296" spans="1:16">
      <c r="A1296" s="1" t="str">
        <f t="shared" si="450"/>
        <v>20190520</v>
      </c>
      <c r="B1296" s="1"/>
      <c r="C1296" s="1"/>
      <c r="D1296" s="1" t="str">
        <f t="shared" si="451"/>
        <v>偿还融资利息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-95.16</v>
      </c>
      <c r="O1296" s="1">
        <v>430.19</v>
      </c>
      <c r="P1296" s="1">
        <v>0</v>
      </c>
    </row>
    <row r="1297" spans="1:16">
      <c r="A1297" s="1" t="str">
        <f t="shared" si="450"/>
        <v>20190520</v>
      </c>
      <c r="B1297" s="1"/>
      <c r="C1297" s="1"/>
      <c r="D1297" s="1" t="str">
        <f t="shared" si="451"/>
        <v>偿还融资利息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-115.93</v>
      </c>
      <c r="O1297" s="1">
        <v>314.26</v>
      </c>
      <c r="P1297" s="1">
        <v>0</v>
      </c>
    </row>
    <row r="1298" spans="1:16">
      <c r="A1298" s="1" t="str">
        <f t="shared" si="450"/>
        <v>20190520</v>
      </c>
      <c r="B1298" s="1"/>
      <c r="C1298" s="1"/>
      <c r="D1298" s="1" t="str">
        <f t="shared" si="451"/>
        <v>偿还融资利息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-104.95</v>
      </c>
      <c r="O1298" s="1">
        <v>209.31</v>
      </c>
      <c r="P1298" s="1">
        <v>0</v>
      </c>
    </row>
    <row r="1299" spans="1:16">
      <c r="A1299" s="1" t="str">
        <f t="shared" si="450"/>
        <v>20190520</v>
      </c>
      <c r="B1299" s="1"/>
      <c r="C1299" s="1"/>
      <c r="D1299" s="1" t="str">
        <f t="shared" si="451"/>
        <v>偿还融资利息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-49.67</v>
      </c>
      <c r="O1299" s="1">
        <v>159.64</v>
      </c>
      <c r="P1299" s="1">
        <v>0</v>
      </c>
    </row>
    <row r="1300" spans="1:16">
      <c r="A1300" s="1" t="str">
        <f t="shared" si="450"/>
        <v>20190520</v>
      </c>
      <c r="B1300" s="1"/>
      <c r="C1300" s="1"/>
      <c r="D1300" s="1" t="str">
        <f t="shared" si="451"/>
        <v>偿还融资利息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-40.74</v>
      </c>
      <c r="O1300" s="1">
        <v>118.9</v>
      </c>
      <c r="P1300" s="1">
        <v>0</v>
      </c>
    </row>
    <row r="1301" spans="1:16">
      <c r="A1301" s="1" t="str">
        <f t="shared" si="450"/>
        <v>20190520</v>
      </c>
      <c r="B1301" s="1"/>
      <c r="C1301" s="1"/>
      <c r="D1301" s="1" t="str">
        <f t="shared" si="451"/>
        <v>偿还融资利息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-20.13</v>
      </c>
      <c r="O1301" s="1">
        <v>98.77</v>
      </c>
      <c r="P1301" s="1">
        <v>0</v>
      </c>
    </row>
    <row r="1302" spans="1:16">
      <c r="A1302" s="1" t="str">
        <f>"20190530"</f>
        <v>20190530</v>
      </c>
      <c r="B1302" s="1" t="str">
        <f>"000543"</f>
        <v>000543</v>
      </c>
      <c r="C1302" s="1" t="str">
        <f>"皖能电力"</f>
        <v>皖能电力</v>
      </c>
      <c r="D1302" s="1" t="str">
        <f>"红利入账"</f>
        <v>红利入账</v>
      </c>
      <c r="E1302" s="1">
        <v>0</v>
      </c>
      <c r="F1302" s="1">
        <v>0</v>
      </c>
      <c r="G1302" s="1">
        <v>440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440</v>
      </c>
      <c r="O1302" s="1">
        <v>538.77</v>
      </c>
      <c r="P1302" s="1">
        <v>0</v>
      </c>
    </row>
    <row r="1303" spans="1:16">
      <c r="A1303" s="1" t="str">
        <f>"20190619"</f>
        <v>20190619</v>
      </c>
      <c r="B1303" s="1" t="str">
        <f>"000768"</f>
        <v>000768</v>
      </c>
      <c r="C1303" s="1" t="str">
        <f>"中航飞机"</f>
        <v>中航飞机</v>
      </c>
      <c r="D1303" s="1" t="str">
        <f>"红利入账"</f>
        <v>红利入账</v>
      </c>
      <c r="E1303" s="1">
        <v>0</v>
      </c>
      <c r="F1303" s="1">
        <v>0</v>
      </c>
      <c r="G1303" s="1">
        <v>100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100</v>
      </c>
      <c r="O1303" s="1">
        <v>638.77</v>
      </c>
      <c r="P1303" s="1">
        <v>0</v>
      </c>
    </row>
    <row r="1304" spans="1:16">
      <c r="A1304" s="1" t="str">
        <f t="shared" ref="A1304:A1311" si="452">"20190620"</f>
        <v>20190620</v>
      </c>
      <c r="B1304" s="1"/>
      <c r="C1304" s="1"/>
      <c r="D1304" s="1" t="str">
        <f>"利息归本"</f>
        <v>利息归本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8.59</v>
      </c>
      <c r="O1304" s="1">
        <v>647.36</v>
      </c>
      <c r="P1304" s="1">
        <v>0</v>
      </c>
    </row>
    <row r="1305" spans="1:16">
      <c r="A1305" s="1" t="str">
        <f t="shared" si="452"/>
        <v>20190620</v>
      </c>
      <c r="B1305" s="1"/>
      <c r="C1305" s="1"/>
      <c r="D1305" s="1" t="str">
        <f t="shared" ref="D1305:D1311" si="453">"偿还融资利息"</f>
        <v>偿还融资利息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-115.94</v>
      </c>
      <c r="O1305" s="1">
        <v>531.42</v>
      </c>
      <c r="P1305" s="1">
        <v>0</v>
      </c>
    </row>
    <row r="1306" spans="1:16">
      <c r="A1306" s="1" t="str">
        <f t="shared" si="452"/>
        <v>20190620</v>
      </c>
      <c r="B1306" s="1"/>
      <c r="C1306" s="1"/>
      <c r="D1306" s="1" t="str">
        <f t="shared" si="453"/>
        <v>偿还融资利息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-116.21</v>
      </c>
      <c r="O1306" s="1">
        <v>415.21</v>
      </c>
      <c r="P1306" s="1">
        <v>0</v>
      </c>
    </row>
    <row r="1307" spans="1:16">
      <c r="A1307" s="1" t="str">
        <f t="shared" si="452"/>
        <v>20190620</v>
      </c>
      <c r="B1307" s="1"/>
      <c r="C1307" s="1"/>
      <c r="D1307" s="1" t="str">
        <f t="shared" si="453"/>
        <v>偿还融资利息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-57.03</v>
      </c>
      <c r="O1307" s="1">
        <v>358.18</v>
      </c>
      <c r="P1307" s="1">
        <v>0</v>
      </c>
    </row>
    <row r="1308" spans="1:16">
      <c r="A1308" s="1" t="str">
        <f t="shared" si="452"/>
        <v>20190620</v>
      </c>
      <c r="B1308" s="1"/>
      <c r="C1308" s="1"/>
      <c r="D1308" s="1" t="str">
        <f t="shared" si="453"/>
        <v>偿还融资利息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-90.22</v>
      </c>
      <c r="O1308" s="1">
        <v>267.96</v>
      </c>
      <c r="P1308" s="1">
        <v>0</v>
      </c>
    </row>
    <row r="1309" spans="1:16">
      <c r="A1309" s="1" t="str">
        <f t="shared" si="452"/>
        <v>20190620</v>
      </c>
      <c r="B1309" s="1"/>
      <c r="C1309" s="1"/>
      <c r="D1309" s="1" t="str">
        <f t="shared" si="453"/>
        <v>偿还融资利息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-56.73</v>
      </c>
      <c r="O1309" s="1">
        <v>211.23</v>
      </c>
      <c r="P1309" s="1">
        <v>0</v>
      </c>
    </row>
    <row r="1310" spans="1:16">
      <c r="A1310" s="1" t="str">
        <f t="shared" si="452"/>
        <v>20190620</v>
      </c>
      <c r="B1310" s="1"/>
      <c r="C1310" s="1"/>
      <c r="D1310" s="1" t="str">
        <f t="shared" si="453"/>
        <v>偿还融资利息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-142.6</v>
      </c>
      <c r="O1310" s="1">
        <v>68.63</v>
      </c>
      <c r="P1310" s="1">
        <v>0</v>
      </c>
    </row>
    <row r="1311" spans="1:16">
      <c r="A1311" s="1" t="str">
        <f t="shared" si="452"/>
        <v>20190620</v>
      </c>
      <c r="B1311" s="1"/>
      <c r="C1311" s="1"/>
      <c r="D1311" s="1" t="str">
        <f t="shared" si="453"/>
        <v>偿还融资利息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-68.63</v>
      </c>
      <c r="O1311" s="1">
        <v>0</v>
      </c>
      <c r="P1311" s="1">
        <v>0</v>
      </c>
    </row>
    <row r="1312" spans="1:16">
      <c r="A1312" s="1" t="str">
        <f>"20190626"</f>
        <v>20190626</v>
      </c>
      <c r="B1312" s="1" t="str">
        <f>"002183"</f>
        <v>002183</v>
      </c>
      <c r="C1312" s="1" t="str">
        <f>"怡 亚 通"</f>
        <v>怡 亚 通</v>
      </c>
      <c r="D1312" s="1" t="str">
        <f>"红利入账"</f>
        <v>红利入账</v>
      </c>
      <c r="E1312" s="1">
        <v>0</v>
      </c>
      <c r="F1312" s="1">
        <v>0</v>
      </c>
      <c r="G1312" s="1">
        <v>200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200</v>
      </c>
      <c r="O1312" s="1">
        <v>200</v>
      </c>
      <c r="P1312" s="1">
        <v>0</v>
      </c>
    </row>
    <row r="1313" spans="1:16">
      <c r="A1313" s="1" t="str">
        <f t="shared" ref="A1313:A1319" si="454">"20190719"</f>
        <v>20190719</v>
      </c>
      <c r="B1313" s="1" t="str">
        <f>"000768"</f>
        <v>000768</v>
      </c>
      <c r="C1313" s="1" t="str">
        <f>"中航飞机"</f>
        <v>中航飞机</v>
      </c>
      <c r="D1313" s="1" t="str">
        <f>"卖券还款"</f>
        <v>卖券还款</v>
      </c>
      <c r="E1313" s="1">
        <v>16</v>
      </c>
      <c r="F1313" s="1">
        <v>500</v>
      </c>
      <c r="G1313" s="1">
        <v>8000</v>
      </c>
      <c r="H1313" s="1">
        <v>5</v>
      </c>
      <c r="I1313" s="1">
        <v>4.29</v>
      </c>
      <c r="J1313" s="1">
        <v>8</v>
      </c>
      <c r="K1313" s="1">
        <v>0</v>
      </c>
      <c r="L1313" s="1">
        <v>0</v>
      </c>
      <c r="M1313" s="1">
        <v>0</v>
      </c>
      <c r="N1313" s="1">
        <v>7987</v>
      </c>
      <c r="O1313" s="1">
        <v>8187</v>
      </c>
      <c r="P1313" s="1">
        <v>500</v>
      </c>
    </row>
    <row r="1314" spans="1:16">
      <c r="A1314" s="1" t="str">
        <f t="shared" si="454"/>
        <v>20190719</v>
      </c>
      <c r="B1314" s="1"/>
      <c r="C1314" s="1"/>
      <c r="D1314" s="1" t="str">
        <f t="shared" ref="D1314:D1319" si="455">"偿还融资利息"</f>
        <v>偿还融资利息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-104.72</v>
      </c>
      <c r="O1314" s="1">
        <v>8082.28</v>
      </c>
      <c r="P1314" s="1">
        <v>0</v>
      </c>
    </row>
    <row r="1315" spans="1:16">
      <c r="A1315" s="1" t="str">
        <f t="shared" si="454"/>
        <v>20190719</v>
      </c>
      <c r="B1315" s="1"/>
      <c r="C1315" s="1"/>
      <c r="D1315" s="1" t="str">
        <f>"偿还融资负债本金"</f>
        <v>偿还融资负债本金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-7863.28</v>
      </c>
      <c r="O1315" s="1">
        <v>219</v>
      </c>
      <c r="P1315" s="1">
        <v>0</v>
      </c>
    </row>
    <row r="1316" spans="1:16">
      <c r="A1316" s="1" t="str">
        <f t="shared" si="454"/>
        <v>20190719</v>
      </c>
      <c r="B1316" s="1"/>
      <c r="C1316" s="1"/>
      <c r="D1316" s="1" t="str">
        <f t="shared" si="455"/>
        <v>偿还融资利息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-1.91</v>
      </c>
      <c r="O1316" s="1">
        <v>217.09</v>
      </c>
      <c r="P1316" s="1">
        <v>0</v>
      </c>
    </row>
    <row r="1317" spans="1:16">
      <c r="A1317" s="1" t="str">
        <f t="shared" si="454"/>
        <v>20190719</v>
      </c>
      <c r="B1317" s="1"/>
      <c r="C1317" s="1"/>
      <c r="D1317" s="1" t="str">
        <f t="shared" si="455"/>
        <v>偿还融资利息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-108.71</v>
      </c>
      <c r="O1317" s="1">
        <v>108.38</v>
      </c>
      <c r="P1317" s="1">
        <v>0</v>
      </c>
    </row>
    <row r="1318" spans="1:16">
      <c r="A1318" s="1" t="str">
        <f t="shared" si="454"/>
        <v>20190719</v>
      </c>
      <c r="B1318" s="1"/>
      <c r="C1318" s="1"/>
      <c r="D1318" s="1" t="str">
        <f t="shared" si="455"/>
        <v>偿还融资利息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-53.36</v>
      </c>
      <c r="O1318" s="1">
        <v>55.02</v>
      </c>
      <c r="P1318" s="1">
        <v>0</v>
      </c>
    </row>
    <row r="1319" spans="1:16">
      <c r="A1319" s="1" t="str">
        <f t="shared" si="454"/>
        <v>20190719</v>
      </c>
      <c r="B1319" s="1"/>
      <c r="C1319" s="1"/>
      <c r="D1319" s="1" t="str">
        <f t="shared" si="455"/>
        <v>偿还融资利息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-55.02</v>
      </c>
      <c r="O1319" s="1">
        <v>0</v>
      </c>
      <c r="P1319" s="1">
        <v>0</v>
      </c>
    </row>
    <row r="1320" spans="1:16">
      <c r="A1320" s="1" t="str">
        <f>"20190722"</f>
        <v>20190722</v>
      </c>
      <c r="B1320" s="1" t="str">
        <f>"000768"</f>
        <v>000768</v>
      </c>
      <c r="C1320" s="1" t="str">
        <f>"中航飞机"</f>
        <v>中航飞机</v>
      </c>
      <c r="D1320" s="1" t="str">
        <f>"融资买入"</f>
        <v>融资买入</v>
      </c>
      <c r="E1320" s="1">
        <v>15.64</v>
      </c>
      <c r="F1320" s="1">
        <v>500</v>
      </c>
      <c r="G1320" s="1">
        <v>7820</v>
      </c>
      <c r="H1320" s="1">
        <v>5</v>
      </c>
      <c r="I1320" s="1">
        <v>4.3</v>
      </c>
      <c r="J1320" s="1">
        <v>0</v>
      </c>
      <c r="K1320" s="1">
        <v>0</v>
      </c>
      <c r="L1320" s="1">
        <v>0</v>
      </c>
      <c r="M1320" s="1">
        <v>0</v>
      </c>
      <c r="N1320" s="1">
        <v>-7825</v>
      </c>
      <c r="O1320" s="1">
        <v>-7825</v>
      </c>
      <c r="P1320" s="1">
        <v>1000</v>
      </c>
    </row>
    <row r="1321" spans="1:16">
      <c r="A1321" s="1" t="str">
        <f>"20190722"</f>
        <v>20190722</v>
      </c>
      <c r="B1321" s="1"/>
      <c r="C1321" s="1"/>
      <c r="D1321" s="1" t="str">
        <f>"融资借入"</f>
        <v>融资借入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7825</v>
      </c>
      <c r="O1321" s="1">
        <v>0</v>
      </c>
      <c r="P1321" s="1">
        <v>0</v>
      </c>
    </row>
    <row r="1322" spans="1:16">
      <c r="A1322" s="1" t="str">
        <f t="shared" ref="A1322:A1325" si="456">"20190729"</f>
        <v>20190729</v>
      </c>
      <c r="B1322" s="1" t="str">
        <f>"600886"</f>
        <v>600886</v>
      </c>
      <c r="C1322" s="1" t="str">
        <f>"国投电力"</f>
        <v>国投电力</v>
      </c>
      <c r="D1322" s="1" t="str">
        <f>"红利入账"</f>
        <v>红利入账</v>
      </c>
      <c r="E1322" s="1">
        <v>0</v>
      </c>
      <c r="F1322" s="1">
        <v>2800</v>
      </c>
      <c r="G1322" s="1">
        <v>630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630</v>
      </c>
      <c r="O1322" s="1">
        <v>630</v>
      </c>
      <c r="P1322" s="1">
        <v>0</v>
      </c>
    </row>
    <row r="1323" spans="1:16">
      <c r="A1323" s="1" t="str">
        <f t="shared" si="456"/>
        <v>20190729</v>
      </c>
      <c r="B1323" s="1" t="str">
        <f t="shared" ref="B1323:B1327" si="457">"000768"</f>
        <v>000768</v>
      </c>
      <c r="C1323" s="1" t="str">
        <f t="shared" ref="C1323:C1327" si="458">"中航飞机"</f>
        <v>中航飞机</v>
      </c>
      <c r="D1323" s="1" t="str">
        <f>"卖券还款"</f>
        <v>卖券还款</v>
      </c>
      <c r="E1323" s="1">
        <v>16.53</v>
      </c>
      <c r="F1323" s="1">
        <v>500</v>
      </c>
      <c r="G1323" s="1">
        <v>8265</v>
      </c>
      <c r="H1323" s="1">
        <v>5</v>
      </c>
      <c r="I1323" s="1">
        <v>4.26</v>
      </c>
      <c r="J1323" s="1">
        <v>8.27</v>
      </c>
      <c r="K1323" s="1">
        <v>0</v>
      </c>
      <c r="L1323" s="1">
        <v>0</v>
      </c>
      <c r="M1323" s="1">
        <v>0</v>
      </c>
      <c r="N1323" s="1">
        <v>8251.73</v>
      </c>
      <c r="O1323" s="1">
        <v>8881.73</v>
      </c>
      <c r="P1323" s="1">
        <v>500</v>
      </c>
    </row>
    <row r="1324" spans="1:16">
      <c r="A1324" s="1" t="str">
        <f t="shared" si="456"/>
        <v>20190729</v>
      </c>
      <c r="B1324" s="1"/>
      <c r="C1324" s="1"/>
      <c r="D1324" s="1" t="str">
        <f>"偿还融资利息"</f>
        <v>偿还融资利息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-17.21</v>
      </c>
      <c r="O1324" s="1">
        <v>8864.52</v>
      </c>
      <c r="P1324" s="1">
        <v>0</v>
      </c>
    </row>
    <row r="1325" spans="1:16">
      <c r="A1325" s="1" t="str">
        <f t="shared" si="456"/>
        <v>20190729</v>
      </c>
      <c r="B1325" s="1"/>
      <c r="C1325" s="1"/>
      <c r="D1325" s="1" t="str">
        <f>"偿还融资负债本金"</f>
        <v>偿还融资负债本金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-8214.62</v>
      </c>
      <c r="O1325" s="1">
        <v>649.9</v>
      </c>
      <c r="P1325" s="1">
        <v>0</v>
      </c>
    </row>
    <row r="1326" spans="1:16">
      <c r="A1326" s="1" t="str">
        <f t="shared" ref="A1326:A1331" si="459">"20190730"</f>
        <v>20190730</v>
      </c>
      <c r="B1326" s="1" t="str">
        <f t="shared" si="457"/>
        <v>000768</v>
      </c>
      <c r="C1326" s="1" t="str">
        <f t="shared" si="458"/>
        <v>中航飞机</v>
      </c>
      <c r="D1326" s="1" t="str">
        <f>"股息红利差异扣税"</f>
        <v>股息红利差异扣税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-5</v>
      </c>
      <c r="O1326" s="1">
        <v>644.9</v>
      </c>
      <c r="P1326" s="1">
        <v>0</v>
      </c>
    </row>
    <row r="1327" spans="1:16">
      <c r="A1327" s="1" t="str">
        <f t="shared" si="459"/>
        <v>20190730</v>
      </c>
      <c r="B1327" s="1" t="str">
        <f t="shared" si="457"/>
        <v>000768</v>
      </c>
      <c r="C1327" s="1" t="str">
        <f t="shared" si="458"/>
        <v>中航飞机</v>
      </c>
      <c r="D1327" s="1" t="str">
        <f>"股息红利差异扣税"</f>
        <v>股息红利差异扣税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-5</v>
      </c>
      <c r="O1327" s="1">
        <v>639.9</v>
      </c>
      <c r="P1327" s="1">
        <v>0</v>
      </c>
    </row>
    <row r="1328" spans="1:16">
      <c r="A1328" s="1" t="str">
        <f t="shared" si="459"/>
        <v>20190730</v>
      </c>
      <c r="B1328" s="1"/>
      <c r="C1328" s="1"/>
      <c r="D1328" s="1" t="str">
        <f>"偿还融资利息"</f>
        <v>偿还融资利息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-0.01</v>
      </c>
      <c r="O1328" s="1">
        <v>639.89</v>
      </c>
      <c r="P1328" s="1">
        <v>0</v>
      </c>
    </row>
    <row r="1329" spans="1:16">
      <c r="A1329" s="1" t="str">
        <f t="shared" si="459"/>
        <v>20190730</v>
      </c>
      <c r="B1329" s="1"/>
      <c r="C1329" s="1"/>
      <c r="D1329" s="1" t="str">
        <f>"偿还融资负债本金"</f>
        <v>偿还融资负债本金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-40.16</v>
      </c>
      <c r="O1329" s="1">
        <v>599.73</v>
      </c>
      <c r="P1329" s="1">
        <v>0</v>
      </c>
    </row>
    <row r="1330" spans="1:16">
      <c r="A1330" s="1" t="str">
        <f t="shared" si="459"/>
        <v>20190730</v>
      </c>
      <c r="B1330" s="1"/>
      <c r="C1330" s="1"/>
      <c r="D1330" s="1" t="str">
        <f>"偿还融资利息"</f>
        <v>偿还融资利息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-37.48</v>
      </c>
      <c r="O1330" s="1">
        <v>562.25</v>
      </c>
      <c r="P1330" s="1">
        <v>0</v>
      </c>
    </row>
    <row r="1331" spans="1:16">
      <c r="A1331" s="1" t="str">
        <f t="shared" si="459"/>
        <v>20190730</v>
      </c>
      <c r="B1331" s="1"/>
      <c r="C1331" s="1"/>
      <c r="D1331" s="1" t="str">
        <f>"偿还融资负债本金"</f>
        <v>偿还融资负债本金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-561.35</v>
      </c>
      <c r="O1331" s="1">
        <v>0.9</v>
      </c>
      <c r="P1331" s="1">
        <v>0</v>
      </c>
    </row>
    <row r="1332" spans="1:16">
      <c r="A1332" s="1" t="str">
        <f>"20190806"</f>
        <v>20190806</v>
      </c>
      <c r="B1332" s="1" t="str">
        <f>"000768"</f>
        <v>000768</v>
      </c>
      <c r="C1332" s="1" t="str">
        <f>"中航飞机"</f>
        <v>中航飞机</v>
      </c>
      <c r="D1332" s="1" t="str">
        <f>"融资买入"</f>
        <v>融资买入</v>
      </c>
      <c r="E1332" s="1">
        <v>15.59</v>
      </c>
      <c r="F1332" s="1">
        <v>500</v>
      </c>
      <c r="G1332" s="1">
        <v>7795</v>
      </c>
      <c r="H1332" s="1">
        <v>5</v>
      </c>
      <c r="I1332" s="1">
        <v>4.29</v>
      </c>
      <c r="J1332" s="1">
        <v>0</v>
      </c>
      <c r="K1332" s="1">
        <v>0</v>
      </c>
      <c r="L1332" s="1">
        <v>0</v>
      </c>
      <c r="M1332" s="1">
        <v>0</v>
      </c>
      <c r="N1332" s="1">
        <v>-7800</v>
      </c>
      <c r="O1332" s="1">
        <v>-7799.1</v>
      </c>
      <c r="P1332" s="1">
        <v>1000</v>
      </c>
    </row>
    <row r="1333" spans="1:16">
      <c r="A1333" s="1" t="str">
        <f>"20190806"</f>
        <v>20190806</v>
      </c>
      <c r="B1333" s="1"/>
      <c r="C1333" s="1"/>
      <c r="D1333" s="1" t="str">
        <f>"融资借入"</f>
        <v>融资借入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7800</v>
      </c>
      <c r="O1333" s="1">
        <v>0.9</v>
      </c>
      <c r="P1333" s="1">
        <v>0</v>
      </c>
    </row>
    <row r="1334" spans="1:16">
      <c r="A1334" s="1" t="str">
        <f>"20190808"</f>
        <v>20190808</v>
      </c>
      <c r="B1334" s="1" t="str">
        <f>"000601"</f>
        <v>000601</v>
      </c>
      <c r="C1334" s="1" t="str">
        <f>"韶能股份"</f>
        <v>韶能股份</v>
      </c>
      <c r="D1334" s="1" t="str">
        <f>"红利入账"</f>
        <v>红利入账</v>
      </c>
      <c r="E1334" s="1">
        <v>0</v>
      </c>
      <c r="F1334" s="1">
        <v>0</v>
      </c>
      <c r="G1334" s="1">
        <v>5610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5610</v>
      </c>
      <c r="O1334" s="1">
        <v>5610.9</v>
      </c>
      <c r="P1334" s="1">
        <v>0</v>
      </c>
    </row>
    <row r="1335" spans="1:16">
      <c r="A1335" s="1" t="str">
        <f>"20190809"</f>
        <v>20190809</v>
      </c>
      <c r="B1335" s="1"/>
      <c r="C1335" s="1"/>
      <c r="D1335" s="1" t="str">
        <f>"偿还融资利息"</f>
        <v>偿还融资利息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-36.19</v>
      </c>
      <c r="O1335" s="1">
        <v>5574.71</v>
      </c>
      <c r="P1335" s="1">
        <v>0</v>
      </c>
    </row>
    <row r="1336" spans="1:16">
      <c r="A1336" s="1" t="str">
        <f>"20190809"</f>
        <v>20190809</v>
      </c>
      <c r="B1336" s="1"/>
      <c r="C1336" s="1"/>
      <c r="D1336" s="1" t="str">
        <f>"偿还融资负债本金"</f>
        <v>偿还融资负债本金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-5573.81</v>
      </c>
      <c r="O1336" s="1">
        <v>0.9</v>
      </c>
      <c r="P1336" s="1">
        <v>0</v>
      </c>
    </row>
    <row r="1337" spans="1:16">
      <c r="A1337" s="1" t="str">
        <f>"20190812"</f>
        <v>20190812</v>
      </c>
      <c r="B1337" s="1" t="str">
        <f>"600886"</f>
        <v>600886</v>
      </c>
      <c r="C1337" s="1" t="str">
        <f>"国投电力"</f>
        <v>国投电力</v>
      </c>
      <c r="D1337" s="1" t="str">
        <f>"担保品卖出"</f>
        <v>担保品卖出</v>
      </c>
      <c r="E1337" s="1">
        <v>8.52</v>
      </c>
      <c r="F1337" s="1">
        <v>2800</v>
      </c>
      <c r="G1337" s="1">
        <v>23856</v>
      </c>
      <c r="H1337" s="1">
        <v>7.4</v>
      </c>
      <c r="I1337" s="1">
        <v>5.76</v>
      </c>
      <c r="J1337" s="1">
        <v>23.86</v>
      </c>
      <c r="K1337" s="1">
        <v>0.48</v>
      </c>
      <c r="L1337" s="1">
        <v>0</v>
      </c>
      <c r="M1337" s="1">
        <v>0</v>
      </c>
      <c r="N1337" s="1">
        <v>23824.26</v>
      </c>
      <c r="O1337" s="1">
        <v>23825.16</v>
      </c>
      <c r="P1337" s="1">
        <v>0</v>
      </c>
    </row>
    <row r="1338" spans="1:16">
      <c r="A1338" s="1" t="str">
        <f>"20190814"</f>
        <v>20190814</v>
      </c>
      <c r="B1338" s="1" t="str">
        <f>"000601"</f>
        <v>000601</v>
      </c>
      <c r="C1338" s="1" t="str">
        <f>"韶能股份"</f>
        <v>韶能股份</v>
      </c>
      <c r="D1338" s="1" t="str">
        <f>"担保品卖出"</f>
        <v>担保品卖出</v>
      </c>
      <c r="E1338" s="1">
        <v>5.19</v>
      </c>
      <c r="F1338" s="1">
        <v>2400</v>
      </c>
      <c r="G1338" s="1">
        <v>12456</v>
      </c>
      <c r="H1338" s="1">
        <v>5</v>
      </c>
      <c r="I1338" s="1">
        <v>3.9</v>
      </c>
      <c r="J1338" s="1">
        <v>12.45</v>
      </c>
      <c r="K1338" s="1">
        <v>0</v>
      </c>
      <c r="L1338" s="1">
        <v>0</v>
      </c>
      <c r="M1338" s="1">
        <v>0</v>
      </c>
      <c r="N1338" s="1">
        <v>12438.55</v>
      </c>
      <c r="O1338" s="1">
        <v>36263.71</v>
      </c>
      <c r="P1338" s="1">
        <v>35000</v>
      </c>
    </row>
    <row r="1339" spans="1:16">
      <c r="A1339" s="1" t="str">
        <f>"20190815"</f>
        <v>20190815</v>
      </c>
      <c r="B1339" s="1" t="str">
        <f>"000768"</f>
        <v>000768</v>
      </c>
      <c r="C1339" s="1" t="str">
        <f>"中航飞机"</f>
        <v>中航飞机</v>
      </c>
      <c r="D1339" s="1" t="str">
        <f>"担保品买入"</f>
        <v>担保品买入</v>
      </c>
      <c r="E1339" s="1">
        <v>14.83</v>
      </c>
      <c r="F1339" s="1">
        <v>1000</v>
      </c>
      <c r="G1339" s="1">
        <v>14830</v>
      </c>
      <c r="H1339" s="1">
        <v>5</v>
      </c>
      <c r="I1339" s="1">
        <v>3.68</v>
      </c>
      <c r="J1339" s="1">
        <v>0</v>
      </c>
      <c r="K1339" s="1">
        <v>0</v>
      </c>
      <c r="L1339" s="1">
        <v>0</v>
      </c>
      <c r="M1339" s="1">
        <v>0</v>
      </c>
      <c r="N1339" s="1">
        <v>-14835</v>
      </c>
      <c r="O1339" s="1">
        <v>21428.71</v>
      </c>
      <c r="P1339" s="1">
        <v>2000</v>
      </c>
    </row>
    <row r="1340" spans="1:16">
      <c r="A1340" s="1" t="str">
        <f t="shared" ref="A1340:A1347" si="460">"20190820"</f>
        <v>20190820</v>
      </c>
      <c r="B1340" s="1"/>
      <c r="C1340" s="1"/>
      <c r="D1340" s="1" t="str">
        <f t="shared" ref="D1340:D1347" si="461">"偿还融资利息"</f>
        <v>偿还融资利息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-27.84</v>
      </c>
      <c r="O1340" s="1">
        <v>21400.87</v>
      </c>
      <c r="P1340" s="1">
        <v>0</v>
      </c>
    </row>
    <row r="1341" spans="1:16">
      <c r="A1341" s="1" t="str">
        <f t="shared" si="460"/>
        <v>20190820</v>
      </c>
      <c r="B1341" s="1"/>
      <c r="C1341" s="1"/>
      <c r="D1341" s="1" t="str">
        <f t="shared" si="461"/>
        <v>偿还融资利息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-58.88</v>
      </c>
      <c r="O1341" s="1">
        <v>21341.99</v>
      </c>
      <c r="P1341" s="1">
        <v>0</v>
      </c>
    </row>
    <row r="1342" spans="1:16">
      <c r="A1342" s="1" t="str">
        <f t="shared" si="460"/>
        <v>20190820</v>
      </c>
      <c r="B1342" s="1"/>
      <c r="C1342" s="1"/>
      <c r="D1342" s="1" t="str">
        <f t="shared" si="461"/>
        <v>偿还融资利息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-122.49</v>
      </c>
      <c r="O1342" s="1">
        <v>21219.5</v>
      </c>
      <c r="P1342" s="1">
        <v>0</v>
      </c>
    </row>
    <row r="1343" spans="1:16">
      <c r="A1343" s="1" t="str">
        <f t="shared" si="460"/>
        <v>20190820</v>
      </c>
      <c r="B1343" s="1"/>
      <c r="C1343" s="1"/>
      <c r="D1343" s="1" t="str">
        <f t="shared" si="461"/>
        <v>偿还融资利息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-111.63</v>
      </c>
      <c r="O1343" s="1">
        <v>21107.87</v>
      </c>
      <c r="P1343" s="1">
        <v>0</v>
      </c>
    </row>
    <row r="1344" spans="1:16">
      <c r="A1344" s="1" t="str">
        <f t="shared" si="460"/>
        <v>20190820</v>
      </c>
      <c r="B1344" s="1"/>
      <c r="C1344" s="1"/>
      <c r="D1344" s="1" t="str">
        <f t="shared" si="461"/>
        <v>偿还融资利息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-280.51</v>
      </c>
      <c r="O1344" s="1">
        <v>20827.36</v>
      </c>
      <c r="P1344" s="1">
        <v>0</v>
      </c>
    </row>
    <row r="1345" spans="1:16">
      <c r="A1345" s="1" t="str">
        <f t="shared" si="460"/>
        <v>20190820</v>
      </c>
      <c r="B1345" s="1"/>
      <c r="C1345" s="1"/>
      <c r="D1345" s="1" t="str">
        <f t="shared" si="461"/>
        <v>偿还融资利息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-213.81</v>
      </c>
      <c r="O1345" s="1">
        <v>20613.55</v>
      </c>
      <c r="P1345" s="1">
        <v>0</v>
      </c>
    </row>
    <row r="1346" spans="1:16">
      <c r="A1346" s="1" t="str">
        <f t="shared" si="460"/>
        <v>20190820</v>
      </c>
      <c r="B1346" s="1"/>
      <c r="C1346" s="1"/>
      <c r="D1346" s="1" t="str">
        <f t="shared" si="461"/>
        <v>偿还融资利息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-54.34</v>
      </c>
      <c r="O1346" s="1">
        <v>20559.21</v>
      </c>
      <c r="P1346" s="1">
        <v>0</v>
      </c>
    </row>
    <row r="1347" spans="1:16">
      <c r="A1347" s="1" t="str">
        <f t="shared" si="460"/>
        <v>20190820</v>
      </c>
      <c r="B1347" s="1"/>
      <c r="C1347" s="1"/>
      <c r="D1347" s="1" t="str">
        <f t="shared" si="461"/>
        <v>偿还融资利息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-27.15</v>
      </c>
      <c r="O1347" s="1">
        <v>20532.06</v>
      </c>
      <c r="P1347" s="1">
        <v>0</v>
      </c>
    </row>
    <row r="1348" spans="1:16">
      <c r="A1348" s="1" t="str">
        <f t="shared" ref="A1348:A1352" si="462">"20190822"</f>
        <v>20190822</v>
      </c>
      <c r="B1348" s="1" t="str">
        <f>"000768"</f>
        <v>000768</v>
      </c>
      <c r="C1348" s="1" t="str">
        <f>"中航飞机"</f>
        <v>中航飞机</v>
      </c>
      <c r="D1348" s="1" t="str">
        <f>"卖券还款"</f>
        <v>卖券还款</v>
      </c>
      <c r="E1348" s="1">
        <v>15.56</v>
      </c>
      <c r="F1348" s="1">
        <v>1000</v>
      </c>
      <c r="G1348" s="1">
        <v>15560</v>
      </c>
      <c r="H1348" s="1">
        <v>7.78</v>
      </c>
      <c r="I1348" s="1">
        <v>6.4</v>
      </c>
      <c r="J1348" s="1">
        <v>15.56</v>
      </c>
      <c r="K1348" s="1">
        <v>0</v>
      </c>
      <c r="L1348" s="1">
        <v>0</v>
      </c>
      <c r="M1348" s="1">
        <v>0</v>
      </c>
      <c r="N1348" s="1">
        <v>15536.66</v>
      </c>
      <c r="O1348" s="1">
        <v>36068.72</v>
      </c>
      <c r="P1348" s="1">
        <v>1000</v>
      </c>
    </row>
    <row r="1349" spans="1:16">
      <c r="A1349" s="1" t="str">
        <f t="shared" si="462"/>
        <v>20190822</v>
      </c>
      <c r="B1349" s="1"/>
      <c r="C1349" s="1"/>
      <c r="D1349" s="1" t="str">
        <f>"偿还融资利息"</f>
        <v>偿还融资利息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-2.32</v>
      </c>
      <c r="O1349" s="1">
        <v>36066.4</v>
      </c>
      <c r="P1349" s="1">
        <v>0</v>
      </c>
    </row>
    <row r="1350" spans="1:16">
      <c r="A1350" s="1" t="str">
        <f t="shared" si="462"/>
        <v>20190822</v>
      </c>
      <c r="B1350" s="1"/>
      <c r="C1350" s="1"/>
      <c r="D1350" s="1" t="str">
        <f>"偿还融资负债本金"</f>
        <v>偿还融资负债本金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-10012.91</v>
      </c>
      <c r="O1350" s="1">
        <v>26053.49</v>
      </c>
      <c r="P1350" s="1">
        <v>0</v>
      </c>
    </row>
    <row r="1351" spans="1:16">
      <c r="A1351" s="1" t="str">
        <f t="shared" si="462"/>
        <v>20190822</v>
      </c>
      <c r="B1351" s="1"/>
      <c r="C1351" s="1"/>
      <c r="D1351" s="1" t="str">
        <f>"偿还融资利息"</f>
        <v>偿还融资利息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-1.84</v>
      </c>
      <c r="O1351" s="1">
        <v>26051.65</v>
      </c>
      <c r="P1351" s="1">
        <v>0</v>
      </c>
    </row>
    <row r="1352" spans="1:16">
      <c r="A1352" s="1" t="str">
        <f t="shared" si="462"/>
        <v>20190822</v>
      </c>
      <c r="B1352" s="1"/>
      <c r="C1352" s="1"/>
      <c r="D1352" s="1" t="str">
        <f>"偿还融资负债本金"</f>
        <v>偿还融资负债本金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-5480.69</v>
      </c>
      <c r="O1352" s="1">
        <v>20570.96</v>
      </c>
      <c r="P1352" s="1">
        <v>0</v>
      </c>
    </row>
    <row r="1353" spans="1:16">
      <c r="A1353" s="1" t="str">
        <f t="shared" ref="A1353:A1358" si="463">"20190902"</f>
        <v>20190902</v>
      </c>
      <c r="B1353" s="1" t="str">
        <f>"000768"</f>
        <v>000768</v>
      </c>
      <c r="C1353" s="1" t="str">
        <f>"中航飞机"</f>
        <v>中航飞机</v>
      </c>
      <c r="D1353" s="1" t="str">
        <f>"卖券还款"</f>
        <v>卖券还款</v>
      </c>
      <c r="E1353" s="1">
        <v>17.44</v>
      </c>
      <c r="F1353" s="1">
        <v>500</v>
      </c>
      <c r="G1353" s="1">
        <v>8720</v>
      </c>
      <c r="H1353" s="1">
        <v>5</v>
      </c>
      <c r="I1353" s="1">
        <v>4.22</v>
      </c>
      <c r="J1353" s="1">
        <v>8.72</v>
      </c>
      <c r="K1353" s="1">
        <v>0</v>
      </c>
      <c r="L1353" s="1">
        <v>0</v>
      </c>
      <c r="M1353" s="1">
        <v>0</v>
      </c>
      <c r="N1353" s="1">
        <v>8706.28</v>
      </c>
      <c r="O1353" s="1">
        <v>29277.24</v>
      </c>
      <c r="P1353" s="1">
        <v>500</v>
      </c>
    </row>
    <row r="1354" spans="1:16">
      <c r="A1354" s="1" t="str">
        <f t="shared" si="463"/>
        <v>20190902</v>
      </c>
      <c r="B1354" s="1" t="str">
        <f>"000543"</f>
        <v>000543</v>
      </c>
      <c r="C1354" s="1" t="str">
        <f>"皖能电力"</f>
        <v>皖能电力</v>
      </c>
      <c r="D1354" s="1" t="str">
        <f>"担保品买入"</f>
        <v>担保品买入</v>
      </c>
      <c r="E1354" s="1">
        <v>4.66</v>
      </c>
      <c r="F1354" s="1">
        <v>2500</v>
      </c>
      <c r="G1354" s="1">
        <v>11650</v>
      </c>
      <c r="H1354" s="1">
        <v>5</v>
      </c>
      <c r="I1354" s="1">
        <v>3.97</v>
      </c>
      <c r="J1354" s="1">
        <v>0</v>
      </c>
      <c r="K1354" s="1">
        <v>0</v>
      </c>
      <c r="L1354" s="1">
        <v>0</v>
      </c>
      <c r="M1354" s="1">
        <v>0</v>
      </c>
      <c r="N1354" s="1">
        <v>-11655</v>
      </c>
      <c r="O1354" s="1">
        <v>17622.24</v>
      </c>
      <c r="P1354" s="1">
        <v>12500</v>
      </c>
    </row>
    <row r="1355" spans="1:16">
      <c r="A1355" s="1" t="str">
        <f t="shared" si="463"/>
        <v>20190902</v>
      </c>
      <c r="B1355" s="1"/>
      <c r="C1355" s="1"/>
      <c r="D1355" s="1" t="str">
        <f t="shared" ref="D1355:D1360" si="464">"偿还融资利息"</f>
        <v>偿还融资利息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-6.25</v>
      </c>
      <c r="O1355" s="1">
        <v>17615.99</v>
      </c>
      <c r="P1355" s="1">
        <v>0</v>
      </c>
    </row>
    <row r="1356" spans="1:16">
      <c r="A1356" s="1" t="str">
        <f t="shared" si="463"/>
        <v>20190902</v>
      </c>
      <c r="B1356" s="1"/>
      <c r="C1356" s="1"/>
      <c r="D1356" s="1" t="str">
        <f t="shared" ref="D1356:D1361" si="465">"偿还融资负债本金"</f>
        <v>偿还融资负债本金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-2444.47</v>
      </c>
      <c r="O1356" s="1">
        <v>15171.52</v>
      </c>
      <c r="P1356" s="1">
        <v>0</v>
      </c>
    </row>
    <row r="1357" spans="1:16">
      <c r="A1357" s="1" t="str">
        <f t="shared" si="463"/>
        <v>20190902</v>
      </c>
      <c r="B1357" s="1"/>
      <c r="C1357" s="1"/>
      <c r="D1357" s="1" t="str">
        <f t="shared" si="464"/>
        <v>偿还融资利息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-34.92</v>
      </c>
      <c r="O1357" s="1">
        <v>15136.6</v>
      </c>
      <c r="P1357" s="1">
        <v>0</v>
      </c>
    </row>
    <row r="1358" spans="1:16">
      <c r="A1358" s="1" t="str">
        <f t="shared" si="463"/>
        <v>20190902</v>
      </c>
      <c r="B1358" s="1"/>
      <c r="C1358" s="1"/>
      <c r="D1358" s="1" t="str">
        <f t="shared" si="465"/>
        <v>偿还融资负债本金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-6199.48</v>
      </c>
      <c r="O1358" s="1">
        <v>8937.12</v>
      </c>
      <c r="P1358" s="1">
        <v>0</v>
      </c>
    </row>
    <row r="1359" spans="1:16">
      <c r="A1359" s="1" t="str">
        <f t="shared" ref="A1359:A1363" si="466">"20190903"</f>
        <v>20190903</v>
      </c>
      <c r="B1359" s="1" t="str">
        <f>"000768"</f>
        <v>000768</v>
      </c>
      <c r="C1359" s="1" t="str">
        <f>"中航飞机"</f>
        <v>中航飞机</v>
      </c>
      <c r="D1359" s="1" t="str">
        <f>"卖券还款"</f>
        <v>卖券还款</v>
      </c>
      <c r="E1359" s="1">
        <v>17.65</v>
      </c>
      <c r="F1359" s="1">
        <v>500</v>
      </c>
      <c r="G1359" s="1">
        <v>8825</v>
      </c>
      <c r="H1359" s="1">
        <v>5</v>
      </c>
      <c r="I1359" s="1">
        <v>4.21</v>
      </c>
      <c r="J1359" s="1">
        <v>8.83</v>
      </c>
      <c r="K1359" s="1">
        <v>0</v>
      </c>
      <c r="L1359" s="1">
        <v>0</v>
      </c>
      <c r="M1359" s="1">
        <v>0</v>
      </c>
      <c r="N1359" s="1">
        <v>8811.17</v>
      </c>
      <c r="O1359" s="1">
        <v>17748.29</v>
      </c>
      <c r="P1359" s="1">
        <v>0</v>
      </c>
    </row>
    <row r="1360" spans="1:16">
      <c r="A1360" s="1" t="str">
        <f t="shared" si="466"/>
        <v>20190903</v>
      </c>
      <c r="B1360" s="1"/>
      <c r="C1360" s="1"/>
      <c r="D1360" s="1" t="str">
        <f t="shared" si="464"/>
        <v>偿还融资利息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-1.47</v>
      </c>
      <c r="O1360" s="1">
        <v>17746.82</v>
      </c>
      <c r="P1360" s="1">
        <v>0</v>
      </c>
    </row>
    <row r="1361" spans="1:16">
      <c r="A1361" s="1" t="str">
        <f t="shared" si="466"/>
        <v>20190903</v>
      </c>
      <c r="B1361" s="1"/>
      <c r="C1361" s="1"/>
      <c r="D1361" s="1" t="str">
        <f t="shared" si="465"/>
        <v>偿还融资负债本金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-6356.8</v>
      </c>
      <c r="O1361" s="1">
        <v>11390.02</v>
      </c>
      <c r="P1361" s="1">
        <v>0</v>
      </c>
    </row>
    <row r="1362" spans="1:16">
      <c r="A1362" s="1" t="str">
        <f t="shared" si="466"/>
        <v>20190903</v>
      </c>
      <c r="B1362" s="1"/>
      <c r="C1362" s="1"/>
      <c r="D1362" s="1" t="str">
        <f>"偿还融资利息"</f>
        <v>偿还融资利息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-23.79</v>
      </c>
      <c r="O1362" s="1">
        <v>11366.23</v>
      </c>
      <c r="P1362" s="1">
        <v>0</v>
      </c>
    </row>
    <row r="1363" spans="1:16">
      <c r="A1363" s="1" t="str">
        <f t="shared" si="466"/>
        <v>20190903</v>
      </c>
      <c r="B1363" s="1"/>
      <c r="C1363" s="1"/>
      <c r="D1363" s="1" t="str">
        <f>"偿还融资负债本金"</f>
        <v>偿还融资负债本金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-2407.63</v>
      </c>
      <c r="O1363" s="1">
        <v>8958.6</v>
      </c>
      <c r="P1363" s="1">
        <v>0</v>
      </c>
    </row>
    <row r="1364" spans="1:16">
      <c r="A1364" s="1" t="str">
        <f>"20190906"</f>
        <v>20190906</v>
      </c>
      <c r="B1364" s="1" t="str">
        <f>"600066"</f>
        <v>600066</v>
      </c>
      <c r="C1364" s="1" t="str">
        <f>"宇通客车"</f>
        <v>宇通客车</v>
      </c>
      <c r="D1364" s="1" t="str">
        <f>"担保品卖出"</f>
        <v>担保品卖出</v>
      </c>
      <c r="E1364" s="1">
        <v>15.63</v>
      </c>
      <c r="F1364" s="1">
        <v>500</v>
      </c>
      <c r="G1364" s="1">
        <v>7815</v>
      </c>
      <c r="H1364" s="1">
        <v>5</v>
      </c>
      <c r="I1364" s="1">
        <v>4.46</v>
      </c>
      <c r="J1364" s="1">
        <v>7.82</v>
      </c>
      <c r="K1364" s="1">
        <v>0.16</v>
      </c>
      <c r="L1364" s="1">
        <v>0</v>
      </c>
      <c r="M1364" s="1">
        <v>0</v>
      </c>
      <c r="N1364" s="1">
        <v>7802.02</v>
      </c>
      <c r="O1364" s="1">
        <v>16760.62</v>
      </c>
      <c r="P1364" s="1">
        <v>0</v>
      </c>
    </row>
    <row r="1365" spans="1:16">
      <c r="A1365" s="1" t="str">
        <f>"20190909"</f>
        <v>20190909</v>
      </c>
      <c r="B1365" s="1" t="str">
        <f>"600066"</f>
        <v>600066</v>
      </c>
      <c r="C1365" s="1" t="str">
        <f>"宇通客车"</f>
        <v>宇通客车</v>
      </c>
      <c r="D1365" s="1" t="str">
        <f>"股息红利差异扣税"</f>
        <v>股息红利差异扣税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-25</v>
      </c>
      <c r="O1365" s="1">
        <v>16735.62</v>
      </c>
      <c r="P1365" s="1">
        <v>0</v>
      </c>
    </row>
    <row r="1366" spans="1:16">
      <c r="A1366" s="1" t="str">
        <f>"20190912"</f>
        <v>20190912</v>
      </c>
      <c r="B1366" s="1"/>
      <c r="C1366" s="1"/>
      <c r="D1366" s="1" t="str">
        <f>"偿还融资利息"</f>
        <v>偿还融资利息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-11.43</v>
      </c>
      <c r="O1366" s="1">
        <v>16724.19</v>
      </c>
      <c r="P1366" s="1">
        <v>0</v>
      </c>
    </row>
    <row r="1367" spans="1:16">
      <c r="A1367" s="1" t="str">
        <f>"20190912"</f>
        <v>20190912</v>
      </c>
      <c r="B1367" s="1"/>
      <c r="C1367" s="1"/>
      <c r="D1367" s="1" t="str">
        <f>"偿还融资负债本金"</f>
        <v>偿还融资负债本金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-4988.57</v>
      </c>
      <c r="O1367" s="1">
        <v>11735.62</v>
      </c>
      <c r="P1367" s="1">
        <v>0</v>
      </c>
    </row>
    <row r="1368" spans="1:16">
      <c r="A1368" s="1" t="str">
        <f t="shared" ref="A1368:A1376" si="467">"20190917"</f>
        <v>20190917</v>
      </c>
      <c r="B1368" s="1" t="str">
        <f>"002183"</f>
        <v>002183</v>
      </c>
      <c r="C1368" s="1" t="str">
        <f>"怡 亚 通"</f>
        <v>怡 亚 通</v>
      </c>
      <c r="D1368" s="1" t="str">
        <f>"卖券还款"</f>
        <v>卖券还款</v>
      </c>
      <c r="E1368" s="1">
        <v>4.63</v>
      </c>
      <c r="F1368" s="1">
        <v>2500</v>
      </c>
      <c r="G1368" s="1">
        <v>11575</v>
      </c>
      <c r="H1368" s="1">
        <v>5.79</v>
      </c>
      <c r="I1368" s="1">
        <v>4.77</v>
      </c>
      <c r="J1368" s="1">
        <v>11.58</v>
      </c>
      <c r="K1368" s="1">
        <v>0</v>
      </c>
      <c r="L1368" s="1">
        <v>0</v>
      </c>
      <c r="M1368" s="1">
        <v>0</v>
      </c>
      <c r="N1368" s="1">
        <v>11557.63</v>
      </c>
      <c r="O1368" s="1">
        <v>23293.25</v>
      </c>
      <c r="P1368" s="1">
        <v>7500</v>
      </c>
    </row>
    <row r="1369" spans="1:16">
      <c r="A1369" s="1" t="str">
        <f t="shared" si="467"/>
        <v>20190917</v>
      </c>
      <c r="B1369" s="1" t="str">
        <f>"000543"</f>
        <v>000543</v>
      </c>
      <c r="C1369" s="1" t="str">
        <f>"皖能电力"</f>
        <v>皖能电力</v>
      </c>
      <c r="D1369" s="1" t="str">
        <f>"担保品卖出"</f>
        <v>担保品卖出</v>
      </c>
      <c r="E1369" s="1">
        <v>4.75</v>
      </c>
      <c r="F1369" s="1">
        <v>2500</v>
      </c>
      <c r="G1369" s="1">
        <v>11875</v>
      </c>
      <c r="H1369" s="1">
        <v>5</v>
      </c>
      <c r="I1369" s="1">
        <v>3.94</v>
      </c>
      <c r="J1369" s="1">
        <v>11.88</v>
      </c>
      <c r="K1369" s="1">
        <v>0</v>
      </c>
      <c r="L1369" s="1">
        <v>0</v>
      </c>
      <c r="M1369" s="1">
        <v>0</v>
      </c>
      <c r="N1369" s="1">
        <v>11858.12</v>
      </c>
      <c r="O1369" s="1">
        <v>35151.37</v>
      </c>
      <c r="P1369" s="1">
        <v>10000</v>
      </c>
    </row>
    <row r="1370" spans="1:16">
      <c r="A1370" s="1" t="str">
        <f t="shared" si="467"/>
        <v>20190917</v>
      </c>
      <c r="B1370" s="1" t="str">
        <f>"000543"</f>
        <v>000543</v>
      </c>
      <c r="C1370" s="1" t="str">
        <f>"皖能电力"</f>
        <v>皖能电力</v>
      </c>
      <c r="D1370" s="1" t="str">
        <f>"担保品买入"</f>
        <v>担保品买入</v>
      </c>
      <c r="E1370" s="1">
        <v>4.64</v>
      </c>
      <c r="F1370" s="1">
        <v>2500</v>
      </c>
      <c r="G1370" s="1">
        <v>11600</v>
      </c>
      <c r="H1370" s="1">
        <v>5</v>
      </c>
      <c r="I1370" s="1">
        <v>3.98</v>
      </c>
      <c r="J1370" s="1">
        <v>0</v>
      </c>
      <c r="K1370" s="1">
        <v>0</v>
      </c>
      <c r="L1370" s="1">
        <v>0</v>
      </c>
      <c r="M1370" s="1">
        <v>0</v>
      </c>
      <c r="N1370" s="1">
        <v>-11605</v>
      </c>
      <c r="O1370" s="1">
        <v>23546.37</v>
      </c>
      <c r="P1370" s="1">
        <v>12500</v>
      </c>
    </row>
    <row r="1371" spans="1:16">
      <c r="A1371" s="1" t="str">
        <f t="shared" si="467"/>
        <v>20190917</v>
      </c>
      <c r="B1371" s="1" t="str">
        <f>"600066"</f>
        <v>600066</v>
      </c>
      <c r="C1371" s="1" t="str">
        <f>"宇通客车"</f>
        <v>宇通客车</v>
      </c>
      <c r="D1371" s="1" t="str">
        <f>"融资买入"</f>
        <v>融资买入</v>
      </c>
      <c r="E1371" s="1">
        <v>14.59</v>
      </c>
      <c r="F1371" s="1">
        <v>500</v>
      </c>
      <c r="G1371" s="1">
        <v>7295</v>
      </c>
      <c r="H1371" s="1">
        <v>5</v>
      </c>
      <c r="I1371" s="1">
        <v>4.5</v>
      </c>
      <c r="J1371" s="1">
        <v>0</v>
      </c>
      <c r="K1371" s="1">
        <v>0.15</v>
      </c>
      <c r="L1371" s="1">
        <v>0</v>
      </c>
      <c r="M1371" s="1">
        <v>0</v>
      </c>
      <c r="N1371" s="1">
        <v>-7300.15</v>
      </c>
      <c r="O1371" s="1">
        <v>16246.22</v>
      </c>
      <c r="P1371" s="1">
        <v>500</v>
      </c>
    </row>
    <row r="1372" spans="1:16">
      <c r="A1372" s="1" t="str">
        <f t="shared" si="467"/>
        <v>20190917</v>
      </c>
      <c r="B1372" s="1"/>
      <c r="C1372" s="1"/>
      <c r="D1372" s="1" t="str">
        <f>"融资借入"</f>
        <v>融资借入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7300.15</v>
      </c>
      <c r="O1372" s="1">
        <v>23546.37</v>
      </c>
      <c r="P1372" s="1">
        <v>0</v>
      </c>
    </row>
    <row r="1373" spans="1:16">
      <c r="A1373" s="1" t="str">
        <f t="shared" si="467"/>
        <v>20190917</v>
      </c>
      <c r="B1373" s="1"/>
      <c r="C1373" s="1"/>
      <c r="D1373" s="1" t="str">
        <f>"偿还融资利息"</f>
        <v>偿还融资利息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-0.56</v>
      </c>
      <c r="O1373" s="1">
        <v>23545.81</v>
      </c>
      <c r="P1373" s="1">
        <v>0</v>
      </c>
    </row>
    <row r="1374" spans="1:16">
      <c r="A1374" s="1" t="str">
        <f t="shared" si="467"/>
        <v>20190917</v>
      </c>
      <c r="B1374" s="1"/>
      <c r="C1374" s="1"/>
      <c r="D1374" s="1" t="str">
        <f>"偿还融资负债本金"</f>
        <v>偿还融资负债本金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-493.8</v>
      </c>
      <c r="O1374" s="1">
        <v>23052.01</v>
      </c>
      <c r="P1374" s="1">
        <v>0</v>
      </c>
    </row>
    <row r="1375" spans="1:16">
      <c r="A1375" s="1" t="str">
        <f t="shared" si="467"/>
        <v>20190917</v>
      </c>
      <c r="B1375" s="1"/>
      <c r="C1375" s="1"/>
      <c r="D1375" s="1" t="str">
        <f>"偿还融资利息"</f>
        <v>偿还融资利息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-124.16</v>
      </c>
      <c r="O1375" s="1">
        <v>22927.85</v>
      </c>
      <c r="P1375" s="1">
        <v>0</v>
      </c>
    </row>
    <row r="1376" spans="1:16">
      <c r="A1376" s="1" t="str">
        <f t="shared" si="467"/>
        <v>20190917</v>
      </c>
      <c r="B1376" s="1"/>
      <c r="C1376" s="1"/>
      <c r="D1376" s="1" t="str">
        <f>"偿还融资负债本金"</f>
        <v>偿还融资负债本金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-10910.17</v>
      </c>
      <c r="O1376" s="1">
        <v>12017.68</v>
      </c>
      <c r="P1376" s="1">
        <v>0</v>
      </c>
    </row>
    <row r="1377" spans="1:16">
      <c r="A1377" s="1" t="str">
        <f t="shared" ref="A1377:A1380" si="468">"20190918"</f>
        <v>20190918</v>
      </c>
      <c r="B1377" s="1" t="str">
        <f>"000543"</f>
        <v>000543</v>
      </c>
      <c r="C1377" s="1" t="str">
        <f>"皖能电力"</f>
        <v>皖能电力</v>
      </c>
      <c r="D1377" s="1" t="str">
        <f>"担保品卖出"</f>
        <v>担保品卖出</v>
      </c>
      <c r="E1377" s="1">
        <v>4.71</v>
      </c>
      <c r="F1377" s="1">
        <v>2500</v>
      </c>
      <c r="G1377" s="1">
        <v>11775</v>
      </c>
      <c r="H1377" s="1">
        <v>5</v>
      </c>
      <c r="I1377" s="1">
        <v>3.95</v>
      </c>
      <c r="J1377" s="1">
        <v>11.77</v>
      </c>
      <c r="K1377" s="1">
        <v>0</v>
      </c>
      <c r="L1377" s="1">
        <v>0</v>
      </c>
      <c r="M1377" s="1">
        <v>0</v>
      </c>
      <c r="N1377" s="1">
        <v>11758.23</v>
      </c>
      <c r="O1377" s="1">
        <v>23775.91</v>
      </c>
      <c r="P1377" s="1">
        <v>10000</v>
      </c>
    </row>
    <row r="1378" spans="1:16">
      <c r="A1378" s="1" t="str">
        <f t="shared" si="468"/>
        <v>20190918</v>
      </c>
      <c r="B1378" s="1" t="str">
        <f>"600066"</f>
        <v>600066</v>
      </c>
      <c r="C1378" s="1" t="str">
        <f>"宇通客车"</f>
        <v>宇通客车</v>
      </c>
      <c r="D1378" s="1" t="str">
        <f>"卖券还款"</f>
        <v>卖券还款</v>
      </c>
      <c r="E1378" s="1">
        <v>14.51</v>
      </c>
      <c r="F1378" s="1">
        <v>500</v>
      </c>
      <c r="G1378" s="1">
        <v>7255</v>
      </c>
      <c r="H1378" s="1">
        <v>5</v>
      </c>
      <c r="I1378" s="1">
        <v>4.5</v>
      </c>
      <c r="J1378" s="1">
        <v>7.25</v>
      </c>
      <c r="K1378" s="1">
        <v>0.15</v>
      </c>
      <c r="L1378" s="1">
        <v>0</v>
      </c>
      <c r="M1378" s="1">
        <v>0</v>
      </c>
      <c r="N1378" s="1">
        <v>7242.6</v>
      </c>
      <c r="O1378" s="1">
        <v>31018.51</v>
      </c>
      <c r="P1378" s="1">
        <v>0</v>
      </c>
    </row>
    <row r="1379" spans="1:16">
      <c r="A1379" s="1" t="str">
        <f t="shared" si="468"/>
        <v>20190918</v>
      </c>
      <c r="B1379" s="1"/>
      <c r="C1379" s="1"/>
      <c r="D1379" s="1" t="str">
        <f t="shared" ref="D1379:D1386" si="469">"偿还融资利息"</f>
        <v>偿还融资利息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-2.07</v>
      </c>
      <c r="O1379" s="1">
        <v>31016.44</v>
      </c>
      <c r="P1379" s="1">
        <v>0</v>
      </c>
    </row>
    <row r="1380" spans="1:16">
      <c r="A1380" s="1" t="str">
        <f t="shared" si="468"/>
        <v>20190918</v>
      </c>
      <c r="B1380" s="1"/>
      <c r="C1380" s="1"/>
      <c r="D1380" s="1" t="str">
        <f>"偿还融资负债本金"</f>
        <v>偿还融资负债本金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-7223.75</v>
      </c>
      <c r="O1380" s="1">
        <v>23792.69</v>
      </c>
      <c r="P1380" s="1">
        <v>0</v>
      </c>
    </row>
    <row r="1381" spans="1:16">
      <c r="A1381" s="1" t="str">
        <f t="shared" ref="A1381:A1386" si="470">"20190920"</f>
        <v>20190920</v>
      </c>
      <c r="B1381" s="1"/>
      <c r="C1381" s="1"/>
      <c r="D1381" s="1" t="str">
        <f>"利息归本"</f>
        <v>利息归本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6.33</v>
      </c>
      <c r="O1381" s="1">
        <v>23799.02</v>
      </c>
      <c r="P1381" s="1">
        <v>0</v>
      </c>
    </row>
    <row r="1382" spans="1:16">
      <c r="A1382" s="1" t="str">
        <f t="shared" si="470"/>
        <v>20190920</v>
      </c>
      <c r="B1382" s="1"/>
      <c r="C1382" s="1"/>
      <c r="D1382" s="1" t="str">
        <f t="shared" si="469"/>
        <v>偿还融资利息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-1.17</v>
      </c>
      <c r="O1382" s="1">
        <v>23797.85</v>
      </c>
      <c r="P1382" s="1">
        <v>0</v>
      </c>
    </row>
    <row r="1383" spans="1:16">
      <c r="A1383" s="1" t="str">
        <f t="shared" si="470"/>
        <v>20190920</v>
      </c>
      <c r="B1383" s="1"/>
      <c r="C1383" s="1"/>
      <c r="D1383" s="1" t="str">
        <f t="shared" si="469"/>
        <v>偿还融资利息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-95.17</v>
      </c>
      <c r="O1383" s="1">
        <v>23702.68</v>
      </c>
      <c r="P1383" s="1">
        <v>0</v>
      </c>
    </row>
    <row r="1384" spans="1:16">
      <c r="A1384" s="1" t="str">
        <f t="shared" si="470"/>
        <v>20190920</v>
      </c>
      <c r="B1384" s="1"/>
      <c r="C1384" s="1"/>
      <c r="D1384" s="1" t="str">
        <f t="shared" si="469"/>
        <v>偿还融资利息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-56.15</v>
      </c>
      <c r="O1384" s="1">
        <v>23646.53</v>
      </c>
      <c r="P1384" s="1">
        <v>0</v>
      </c>
    </row>
    <row r="1385" spans="1:16">
      <c r="A1385" s="1" t="str">
        <f t="shared" si="470"/>
        <v>20190920</v>
      </c>
      <c r="B1385" s="1"/>
      <c r="C1385" s="1"/>
      <c r="D1385" s="1" t="str">
        <f t="shared" si="469"/>
        <v>偿还融资利息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-56.11</v>
      </c>
      <c r="O1385" s="1">
        <v>23590.42</v>
      </c>
      <c r="P1385" s="1">
        <v>0</v>
      </c>
    </row>
    <row r="1386" spans="1:16">
      <c r="A1386" s="1" t="str">
        <f t="shared" si="470"/>
        <v>20190920</v>
      </c>
      <c r="B1386" s="1"/>
      <c r="C1386" s="1"/>
      <c r="D1386" s="1" t="str">
        <f t="shared" si="469"/>
        <v>偿还融资利息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-6.76</v>
      </c>
      <c r="O1386" s="1">
        <v>23583.66</v>
      </c>
      <c r="P1386" s="1">
        <v>0</v>
      </c>
    </row>
    <row r="1387" spans="1:16">
      <c r="A1387" s="1" t="str">
        <f>"20190926"</f>
        <v>20190926</v>
      </c>
      <c r="B1387" s="1" t="str">
        <f>"000768"</f>
        <v>000768</v>
      </c>
      <c r="C1387" s="1" t="str">
        <f>"中航飞机"</f>
        <v>中航飞机</v>
      </c>
      <c r="D1387" s="1" t="str">
        <f>"担保品买入"</f>
        <v>担保品买入</v>
      </c>
      <c r="E1387" s="1">
        <v>16</v>
      </c>
      <c r="F1387" s="1">
        <v>500</v>
      </c>
      <c r="G1387" s="1">
        <v>8000</v>
      </c>
      <c r="H1387" s="1">
        <v>5</v>
      </c>
      <c r="I1387" s="1">
        <v>4.29</v>
      </c>
      <c r="J1387" s="1">
        <v>0</v>
      </c>
      <c r="K1387" s="1">
        <v>0</v>
      </c>
      <c r="L1387" s="1">
        <v>0</v>
      </c>
      <c r="M1387" s="1">
        <v>0</v>
      </c>
      <c r="N1387" s="1">
        <v>-8005</v>
      </c>
      <c r="O1387" s="1">
        <v>15578.66</v>
      </c>
      <c r="P1387" s="1">
        <v>500</v>
      </c>
    </row>
    <row r="1388" spans="1:16">
      <c r="A1388" s="1" t="str">
        <f>"20190930"</f>
        <v>20190930</v>
      </c>
      <c r="B1388" s="1"/>
      <c r="C1388" s="1"/>
      <c r="D1388" s="1" t="str">
        <f>"证券转银行"</f>
        <v>证券转银行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-2000</v>
      </c>
      <c r="O1388" s="1">
        <v>13578.66</v>
      </c>
      <c r="P1388" s="1">
        <v>0</v>
      </c>
    </row>
    <row r="1389" spans="1:16">
      <c r="A1389" s="1" t="str">
        <f>"20191011"</f>
        <v>20191011</v>
      </c>
      <c r="B1389" s="1" t="str">
        <f>"000768"</f>
        <v>000768</v>
      </c>
      <c r="C1389" s="1" t="str">
        <f>"中航飞机"</f>
        <v>中航飞机</v>
      </c>
      <c r="D1389" s="1" t="str">
        <f>"担保品买入"</f>
        <v>担保品买入</v>
      </c>
      <c r="E1389" s="1">
        <v>15.39</v>
      </c>
      <c r="F1389" s="1">
        <v>500</v>
      </c>
      <c r="G1389" s="1">
        <v>7695</v>
      </c>
      <c r="H1389" s="1">
        <v>5</v>
      </c>
      <c r="I1389" s="1">
        <v>4.33</v>
      </c>
      <c r="J1389" s="1">
        <v>0</v>
      </c>
      <c r="K1389" s="1">
        <v>0</v>
      </c>
      <c r="L1389" s="1">
        <v>0</v>
      </c>
      <c r="M1389" s="1">
        <v>0</v>
      </c>
      <c r="N1389" s="1">
        <v>-7700</v>
      </c>
      <c r="O1389" s="1">
        <v>5878.66</v>
      </c>
      <c r="P1389" s="1">
        <v>1000</v>
      </c>
    </row>
    <row r="1390" spans="1:16">
      <c r="A1390" s="1" t="str">
        <f t="shared" ref="A1390:A1394" si="471">"20191018"</f>
        <v>20191018</v>
      </c>
      <c r="B1390" s="1"/>
      <c r="C1390" s="1"/>
      <c r="D1390" s="1" t="str">
        <f t="shared" ref="D1390:D1394" si="472">"偿还融资利息"</f>
        <v>偿还融资利息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-10.92</v>
      </c>
      <c r="O1390" s="1">
        <v>5867.74</v>
      </c>
      <c r="P1390" s="1">
        <v>0</v>
      </c>
    </row>
    <row r="1391" spans="1:16">
      <c r="A1391" s="1" t="str">
        <f t="shared" si="471"/>
        <v>20191018</v>
      </c>
      <c r="B1391" s="1"/>
      <c r="C1391" s="1"/>
      <c r="D1391" s="1" t="str">
        <f t="shared" si="472"/>
        <v>偿还融资利息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-85.95</v>
      </c>
      <c r="O1391" s="1">
        <v>5781.79</v>
      </c>
      <c r="P1391" s="1">
        <v>0</v>
      </c>
    </row>
    <row r="1392" spans="1:16">
      <c r="A1392" s="1" t="str">
        <f t="shared" si="471"/>
        <v>20191018</v>
      </c>
      <c r="B1392" s="1"/>
      <c r="C1392" s="1"/>
      <c r="D1392" s="1" t="str">
        <f t="shared" si="472"/>
        <v>偿还融资利息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-50.74</v>
      </c>
      <c r="O1392" s="1">
        <v>5731.05</v>
      </c>
      <c r="P1392" s="1">
        <v>0</v>
      </c>
    </row>
    <row r="1393" spans="1:16">
      <c r="A1393" s="1" t="str">
        <f t="shared" si="471"/>
        <v>20191018</v>
      </c>
      <c r="B1393" s="1"/>
      <c r="C1393" s="1"/>
      <c r="D1393" s="1" t="str">
        <f t="shared" si="472"/>
        <v>偿还融资利息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-50.67</v>
      </c>
      <c r="O1393" s="1">
        <v>5680.38</v>
      </c>
      <c r="P1393" s="1">
        <v>0</v>
      </c>
    </row>
    <row r="1394" spans="1:16">
      <c r="A1394" s="1" t="str">
        <f t="shared" si="471"/>
        <v>20191018</v>
      </c>
      <c r="B1394" s="1"/>
      <c r="C1394" s="1"/>
      <c r="D1394" s="1" t="str">
        <f t="shared" si="472"/>
        <v>偿还融资利息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-47.37</v>
      </c>
      <c r="O1394" s="1">
        <v>5633.01</v>
      </c>
      <c r="P1394" s="1">
        <v>0</v>
      </c>
    </row>
    <row r="1395" spans="1:16">
      <c r="A1395" s="1" t="str">
        <f>"20191028"</f>
        <v>20191028</v>
      </c>
      <c r="B1395" s="1" t="str">
        <f>"000768"</f>
        <v>000768</v>
      </c>
      <c r="C1395" s="1" t="str">
        <f>"中航飞机"</f>
        <v>中航飞机</v>
      </c>
      <c r="D1395" s="1" t="str">
        <f t="shared" ref="D1395:D1398" si="473">"融资买入"</f>
        <v>融资买入</v>
      </c>
      <c r="E1395" s="1">
        <v>15.34</v>
      </c>
      <c r="F1395" s="1">
        <v>1000</v>
      </c>
      <c r="G1395" s="1">
        <v>15340</v>
      </c>
      <c r="H1395" s="1">
        <v>7.67</v>
      </c>
      <c r="I1395" s="1">
        <v>6.3</v>
      </c>
      <c r="J1395" s="1">
        <v>0</v>
      </c>
      <c r="K1395" s="1">
        <v>0</v>
      </c>
      <c r="L1395" s="1">
        <v>0</v>
      </c>
      <c r="M1395" s="1">
        <v>0</v>
      </c>
      <c r="N1395" s="1">
        <v>-15347.67</v>
      </c>
      <c r="O1395" s="1">
        <v>-9714.66</v>
      </c>
      <c r="P1395" s="1">
        <v>2000</v>
      </c>
    </row>
    <row r="1396" spans="1:16">
      <c r="A1396" s="1" t="str">
        <f>"20191028"</f>
        <v>20191028</v>
      </c>
      <c r="B1396" s="1"/>
      <c r="C1396" s="1"/>
      <c r="D1396" s="1" t="str">
        <f t="shared" ref="D1396:D1400" si="474">"融资借入"</f>
        <v>融资借入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15347.67</v>
      </c>
      <c r="O1396" s="1">
        <v>5633.01</v>
      </c>
      <c r="P1396" s="1">
        <v>0</v>
      </c>
    </row>
    <row r="1397" spans="1:16">
      <c r="A1397" s="1" t="str">
        <f t="shared" ref="A1397:A1400" si="475">"20191107"</f>
        <v>20191107</v>
      </c>
      <c r="B1397" s="1" t="str">
        <f>"000543"</f>
        <v>000543</v>
      </c>
      <c r="C1397" s="1" t="str">
        <f>"皖能电力"</f>
        <v>皖能电力</v>
      </c>
      <c r="D1397" s="1" t="str">
        <f t="shared" si="473"/>
        <v>融资买入</v>
      </c>
      <c r="E1397" s="1">
        <v>4.58</v>
      </c>
      <c r="F1397" s="1">
        <v>3000</v>
      </c>
      <c r="G1397" s="1">
        <v>13740</v>
      </c>
      <c r="H1397" s="1">
        <v>6.87</v>
      </c>
      <c r="I1397" s="1">
        <v>5.65</v>
      </c>
      <c r="J1397" s="1">
        <v>0</v>
      </c>
      <c r="K1397" s="1">
        <v>0</v>
      </c>
      <c r="L1397" s="1">
        <v>0</v>
      </c>
      <c r="M1397" s="1">
        <v>0</v>
      </c>
      <c r="N1397" s="1">
        <v>-13746.87</v>
      </c>
      <c r="O1397" s="1">
        <v>-8113.86</v>
      </c>
      <c r="P1397" s="1">
        <v>13000</v>
      </c>
    </row>
    <row r="1398" spans="1:16">
      <c r="A1398" s="1" t="str">
        <f t="shared" si="475"/>
        <v>20191107</v>
      </c>
      <c r="B1398" s="1" t="str">
        <f>"000050"</f>
        <v>000050</v>
      </c>
      <c r="C1398" s="1" t="str">
        <f>"深天马Ａ"</f>
        <v>深天马Ａ</v>
      </c>
      <c r="D1398" s="1" t="str">
        <f t="shared" si="473"/>
        <v>融资买入</v>
      </c>
      <c r="E1398" s="1">
        <v>14.55</v>
      </c>
      <c r="F1398" s="1">
        <v>500</v>
      </c>
      <c r="G1398" s="1">
        <v>7275</v>
      </c>
      <c r="H1398" s="1">
        <v>5</v>
      </c>
      <c r="I1398" s="1">
        <v>4.35</v>
      </c>
      <c r="J1398" s="1">
        <v>0</v>
      </c>
      <c r="K1398" s="1">
        <v>0</v>
      </c>
      <c r="L1398" s="1">
        <v>0</v>
      </c>
      <c r="M1398" s="1">
        <v>0</v>
      </c>
      <c r="N1398" s="1">
        <v>-7280</v>
      </c>
      <c r="O1398" s="1">
        <v>-15393.86</v>
      </c>
      <c r="P1398" s="1">
        <v>500</v>
      </c>
    </row>
    <row r="1399" spans="1:16">
      <c r="A1399" s="1" t="str">
        <f t="shared" si="475"/>
        <v>20191107</v>
      </c>
      <c r="B1399" s="1"/>
      <c r="C1399" s="1"/>
      <c r="D1399" s="1" t="str">
        <f t="shared" si="474"/>
        <v>融资借入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13746.87</v>
      </c>
      <c r="O1399" s="1">
        <v>-1646.99</v>
      </c>
      <c r="P1399" s="1">
        <v>0</v>
      </c>
    </row>
    <row r="1400" spans="1:16">
      <c r="A1400" s="1" t="str">
        <f t="shared" si="475"/>
        <v>20191107</v>
      </c>
      <c r="B1400" s="1"/>
      <c r="C1400" s="1"/>
      <c r="D1400" s="1" t="str">
        <f t="shared" si="474"/>
        <v>融资借入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7280</v>
      </c>
      <c r="O1400" s="1">
        <v>5633.01</v>
      </c>
      <c r="P1400" s="1">
        <v>0</v>
      </c>
    </row>
    <row r="1401" spans="1:16">
      <c r="A1401" s="1" t="str">
        <f t="shared" ref="A1401:A1410" si="476">"20191111"</f>
        <v>20191111</v>
      </c>
      <c r="B1401" s="1"/>
      <c r="C1401" s="1"/>
      <c r="D1401" s="1" t="str">
        <f>"银行转证券"</f>
        <v>银行转证券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250000</v>
      </c>
      <c r="O1401" s="1">
        <v>255633.01</v>
      </c>
      <c r="P1401" s="1">
        <v>0</v>
      </c>
    </row>
    <row r="1402" spans="1:16">
      <c r="A1402" s="1" t="str">
        <f t="shared" si="476"/>
        <v>20191111</v>
      </c>
      <c r="B1402" s="1" t="str">
        <f>"000768"</f>
        <v>000768</v>
      </c>
      <c r="C1402" s="1" t="str">
        <f>"中航飞机"</f>
        <v>中航飞机</v>
      </c>
      <c r="D1402" s="1" t="str">
        <f>"卖券还款"</f>
        <v>卖券还款</v>
      </c>
      <c r="E1402" s="1">
        <v>15.45</v>
      </c>
      <c r="F1402" s="1">
        <v>1000</v>
      </c>
      <c r="G1402" s="1">
        <v>15450</v>
      </c>
      <c r="H1402" s="1">
        <v>7.73</v>
      </c>
      <c r="I1402" s="1">
        <v>6.35</v>
      </c>
      <c r="J1402" s="1">
        <v>15.46</v>
      </c>
      <c r="K1402" s="1">
        <v>0</v>
      </c>
      <c r="L1402" s="1">
        <v>0</v>
      </c>
      <c r="M1402" s="1">
        <v>0</v>
      </c>
      <c r="N1402" s="1">
        <v>15426.81</v>
      </c>
      <c r="O1402" s="1">
        <v>271059.82</v>
      </c>
      <c r="P1402" s="1">
        <v>1000</v>
      </c>
    </row>
    <row r="1403" spans="1:16">
      <c r="A1403" s="1" t="str">
        <f t="shared" si="476"/>
        <v>20191111</v>
      </c>
      <c r="B1403" s="1" t="str">
        <f>"000768"</f>
        <v>000768</v>
      </c>
      <c r="C1403" s="1" t="str">
        <f>"中航飞机"</f>
        <v>中航飞机</v>
      </c>
      <c r="D1403" s="1" t="str">
        <f>"融资买入"</f>
        <v>融资买入</v>
      </c>
      <c r="E1403" s="1">
        <v>15.52</v>
      </c>
      <c r="F1403" s="1">
        <v>1000</v>
      </c>
      <c r="G1403" s="1">
        <v>15520</v>
      </c>
      <c r="H1403" s="1">
        <v>7.76</v>
      </c>
      <c r="I1403" s="1">
        <v>6.38</v>
      </c>
      <c r="J1403" s="1">
        <v>0</v>
      </c>
      <c r="K1403" s="1">
        <v>0</v>
      </c>
      <c r="L1403" s="1">
        <v>0</v>
      </c>
      <c r="M1403" s="1">
        <v>0</v>
      </c>
      <c r="N1403" s="1">
        <v>-15527.76</v>
      </c>
      <c r="O1403" s="1">
        <v>255532.06</v>
      </c>
      <c r="P1403" s="1">
        <v>2000</v>
      </c>
    </row>
    <row r="1404" spans="1:16">
      <c r="A1404" s="1" t="str">
        <f t="shared" si="476"/>
        <v>20191111</v>
      </c>
      <c r="B1404" s="1"/>
      <c r="C1404" s="1"/>
      <c r="D1404" s="1" t="str">
        <f>"融资借入"</f>
        <v>融资借入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15527.76</v>
      </c>
      <c r="O1404" s="1">
        <v>271059.82</v>
      </c>
      <c r="P1404" s="1">
        <v>0</v>
      </c>
    </row>
    <row r="1405" spans="1:16">
      <c r="A1405" s="1" t="str">
        <f t="shared" si="476"/>
        <v>20191111</v>
      </c>
      <c r="B1405" s="1"/>
      <c r="C1405" s="1"/>
      <c r="D1405" s="1" t="str">
        <f t="shared" ref="D1405:D1409" si="477">"偿还融资利息"</f>
        <v>偿还融资利息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-8.97</v>
      </c>
      <c r="O1405" s="1">
        <v>271050.85</v>
      </c>
      <c r="P1405" s="1">
        <v>0</v>
      </c>
    </row>
    <row r="1406" spans="1:16">
      <c r="A1406" s="1" t="str">
        <f t="shared" si="476"/>
        <v>20191111</v>
      </c>
      <c r="B1406" s="1"/>
      <c r="C1406" s="1"/>
      <c r="D1406" s="1" t="str">
        <f t="shared" ref="D1406:D1410" si="478">"偿还融资负债本金"</f>
        <v>偿还融资负债本金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-1679.26</v>
      </c>
      <c r="O1406" s="1">
        <v>269371.59</v>
      </c>
      <c r="P1406" s="1">
        <v>0</v>
      </c>
    </row>
    <row r="1407" spans="1:16">
      <c r="A1407" s="1" t="str">
        <f t="shared" si="476"/>
        <v>20191111</v>
      </c>
      <c r="B1407" s="1"/>
      <c r="C1407" s="1"/>
      <c r="D1407" s="1" t="str">
        <f t="shared" si="477"/>
        <v>偿还融资利息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-70.61</v>
      </c>
      <c r="O1407" s="1">
        <v>269300.98</v>
      </c>
      <c r="P1407" s="1">
        <v>0</v>
      </c>
    </row>
    <row r="1408" spans="1:16">
      <c r="A1408" s="1" t="str">
        <f t="shared" si="476"/>
        <v>20191111</v>
      </c>
      <c r="B1408" s="1"/>
      <c r="C1408" s="1"/>
      <c r="D1408" s="1" t="str">
        <f t="shared" si="478"/>
        <v>偿还融资负债本金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-13231.61</v>
      </c>
      <c r="O1408" s="1">
        <v>256069.37</v>
      </c>
      <c r="P1408" s="1">
        <v>0</v>
      </c>
    </row>
    <row r="1409" spans="1:16">
      <c r="A1409" s="1" t="str">
        <f t="shared" si="476"/>
        <v>20191111</v>
      </c>
      <c r="B1409" s="1"/>
      <c r="C1409" s="1"/>
      <c r="D1409" s="1" t="str">
        <f t="shared" si="477"/>
        <v>偿还融资利息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-41.67</v>
      </c>
      <c r="O1409" s="1">
        <v>256027.7</v>
      </c>
      <c r="P1409" s="1">
        <v>0</v>
      </c>
    </row>
    <row r="1410" spans="1:16">
      <c r="A1410" s="1" t="str">
        <f t="shared" si="476"/>
        <v>20191111</v>
      </c>
      <c r="B1410" s="1"/>
      <c r="C1410" s="1"/>
      <c r="D1410" s="1" t="str">
        <f t="shared" si="478"/>
        <v>偿还融资负债本金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-356.08</v>
      </c>
      <c r="O1410" s="1">
        <v>255671.62</v>
      </c>
      <c r="P1410" s="1">
        <v>0</v>
      </c>
    </row>
    <row r="1411" spans="1:16">
      <c r="A1411" s="1" t="str">
        <f>"20191112"</f>
        <v>20191112</v>
      </c>
      <c r="B1411" s="1" t="str">
        <f>"000601"</f>
        <v>000601</v>
      </c>
      <c r="C1411" s="1" t="str">
        <f>"韶能股份"</f>
        <v>韶能股份</v>
      </c>
      <c r="D1411" s="1" t="str">
        <f>"担保品卖出"</f>
        <v>担保品卖出</v>
      </c>
      <c r="E1411" s="1">
        <v>5.84</v>
      </c>
      <c r="F1411" s="1">
        <v>5000</v>
      </c>
      <c r="G1411" s="1">
        <v>29200</v>
      </c>
      <c r="H1411" s="1">
        <v>9.05</v>
      </c>
      <c r="I1411" s="1">
        <v>6.47</v>
      </c>
      <c r="J1411" s="1">
        <v>29.2</v>
      </c>
      <c r="K1411" s="1">
        <v>0</v>
      </c>
      <c r="L1411" s="1">
        <v>0</v>
      </c>
      <c r="M1411" s="1">
        <v>0</v>
      </c>
      <c r="N1411" s="1">
        <v>29161.75</v>
      </c>
      <c r="O1411" s="1">
        <v>284833.37</v>
      </c>
      <c r="P1411" s="1">
        <v>30000</v>
      </c>
    </row>
    <row r="1412" spans="1:16">
      <c r="A1412" s="1" t="str">
        <f>"20191113"</f>
        <v>20191113</v>
      </c>
      <c r="B1412" s="1" t="str">
        <f>"511990"</f>
        <v>511990</v>
      </c>
      <c r="C1412" s="1" t="str">
        <f>"华宝添益"</f>
        <v>华宝添益</v>
      </c>
      <c r="D1412" s="1" t="str">
        <f>"担保品买入"</f>
        <v>担保品买入</v>
      </c>
      <c r="E1412" s="1">
        <v>99.995</v>
      </c>
      <c r="F1412" s="1">
        <v>2500</v>
      </c>
      <c r="G1412" s="1">
        <v>249987.5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-249987.5</v>
      </c>
      <c r="O1412" s="1">
        <v>34845.87</v>
      </c>
      <c r="P1412" s="1">
        <v>2500</v>
      </c>
    </row>
    <row r="1413" spans="1:16">
      <c r="A1413" s="1" t="str">
        <f t="shared" ref="A1413:A1415" si="479">"20191119"</f>
        <v>20191119</v>
      </c>
      <c r="B1413" s="1" t="str">
        <f>"000050"</f>
        <v>000050</v>
      </c>
      <c r="C1413" s="1" t="str">
        <f>"深天马Ａ"</f>
        <v>深天马Ａ</v>
      </c>
      <c r="D1413" s="1" t="str">
        <f>"卖券还款"</f>
        <v>卖券还款</v>
      </c>
      <c r="E1413" s="1">
        <v>14.89</v>
      </c>
      <c r="F1413" s="1">
        <v>500</v>
      </c>
      <c r="G1413" s="1">
        <v>7445</v>
      </c>
      <c r="H1413" s="1">
        <v>5</v>
      </c>
      <c r="I1413" s="1">
        <v>4.34</v>
      </c>
      <c r="J1413" s="1">
        <v>7.45</v>
      </c>
      <c r="K1413" s="1">
        <v>0</v>
      </c>
      <c r="L1413" s="1">
        <v>0</v>
      </c>
      <c r="M1413" s="1">
        <v>0</v>
      </c>
      <c r="N1413" s="1">
        <v>7432.55</v>
      </c>
      <c r="O1413" s="1">
        <v>42278.42</v>
      </c>
      <c r="P1413" s="1">
        <v>0</v>
      </c>
    </row>
    <row r="1414" spans="1:16">
      <c r="A1414" s="1" t="str">
        <f t="shared" si="479"/>
        <v>20191119</v>
      </c>
      <c r="B1414" s="1"/>
      <c r="C1414" s="1"/>
      <c r="D1414" s="1" t="str">
        <f t="shared" ref="D1414:D1423" si="480">"偿还融资利息"</f>
        <v>偿还融资利息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-13.84</v>
      </c>
      <c r="O1414" s="1">
        <v>42264.58</v>
      </c>
      <c r="P1414" s="1">
        <v>0</v>
      </c>
    </row>
    <row r="1415" spans="1:16">
      <c r="A1415" s="1" t="str">
        <f t="shared" si="479"/>
        <v>20191119</v>
      </c>
      <c r="B1415" s="1"/>
      <c r="C1415" s="1"/>
      <c r="D1415" s="1" t="str">
        <f>"偿还融资负债本金"</f>
        <v>偿还融资负债本金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-7401.37</v>
      </c>
      <c r="O1415" s="1">
        <v>34863.21</v>
      </c>
      <c r="P1415" s="1">
        <v>0</v>
      </c>
    </row>
    <row r="1416" spans="1:16">
      <c r="A1416" s="1" t="str">
        <f t="shared" ref="A1416:A1423" si="481">"20191120"</f>
        <v>20191120</v>
      </c>
      <c r="B1416" s="1" t="str">
        <f>"511990"</f>
        <v>511990</v>
      </c>
      <c r="C1416" s="1" t="str">
        <f>"华宝添益"</f>
        <v>华宝添益</v>
      </c>
      <c r="D1416" s="1" t="str">
        <f>"红股入账"</f>
        <v>红股入账</v>
      </c>
      <c r="E1416" s="1">
        <v>0</v>
      </c>
      <c r="F1416" s="1">
        <v>1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34863.21</v>
      </c>
      <c r="P1416" s="1">
        <v>2501</v>
      </c>
    </row>
    <row r="1417" spans="1:16">
      <c r="A1417" s="1" t="str">
        <f t="shared" si="481"/>
        <v>20191120</v>
      </c>
      <c r="B1417" s="1"/>
      <c r="C1417" s="1"/>
      <c r="D1417" s="1" t="str">
        <f t="shared" si="480"/>
        <v>偿还融资利息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-0.04</v>
      </c>
      <c r="O1417" s="1">
        <v>34863.17</v>
      </c>
      <c r="P1417" s="1">
        <v>0</v>
      </c>
    </row>
    <row r="1418" spans="1:16">
      <c r="A1418" s="1" t="str">
        <f t="shared" si="481"/>
        <v>20191120</v>
      </c>
      <c r="B1418" s="1"/>
      <c r="C1418" s="1"/>
      <c r="D1418" s="1" t="str">
        <f t="shared" si="480"/>
        <v>偿还融资利息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-59.73</v>
      </c>
      <c r="O1418" s="1">
        <v>34803.44</v>
      </c>
      <c r="P1418" s="1">
        <v>0</v>
      </c>
    </row>
    <row r="1419" spans="1:16">
      <c r="A1419" s="1" t="str">
        <f t="shared" si="481"/>
        <v>20191120</v>
      </c>
      <c r="B1419" s="1"/>
      <c r="C1419" s="1"/>
      <c r="D1419" s="1" t="str">
        <f t="shared" si="480"/>
        <v>偿还融资利息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-55.82</v>
      </c>
      <c r="O1419" s="1">
        <v>34747.62</v>
      </c>
      <c r="P1419" s="1">
        <v>0</v>
      </c>
    </row>
    <row r="1420" spans="1:16">
      <c r="A1420" s="1" t="str">
        <f t="shared" si="481"/>
        <v>20191120</v>
      </c>
      <c r="B1420" s="1"/>
      <c r="C1420" s="1"/>
      <c r="D1420" s="1" t="str">
        <f t="shared" si="480"/>
        <v>偿还融资利息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-85.44</v>
      </c>
      <c r="O1420" s="1">
        <v>34662.18</v>
      </c>
      <c r="P1420" s="1">
        <v>0</v>
      </c>
    </row>
    <row r="1421" spans="1:16">
      <c r="A1421" s="1" t="str">
        <f t="shared" si="481"/>
        <v>20191120</v>
      </c>
      <c r="B1421" s="1"/>
      <c r="C1421" s="1"/>
      <c r="D1421" s="1" t="str">
        <f t="shared" si="480"/>
        <v>偿还融资利息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-44.66</v>
      </c>
      <c r="O1421" s="1">
        <v>34617.52</v>
      </c>
      <c r="P1421" s="1">
        <v>0</v>
      </c>
    </row>
    <row r="1422" spans="1:16">
      <c r="A1422" s="1" t="str">
        <f t="shared" si="481"/>
        <v>20191120</v>
      </c>
      <c r="B1422" s="1"/>
      <c r="C1422" s="1"/>
      <c r="D1422" s="1" t="str">
        <f t="shared" si="480"/>
        <v>偿还融资利息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-23.66</v>
      </c>
      <c r="O1422" s="1">
        <v>34593.86</v>
      </c>
      <c r="P1422" s="1">
        <v>0</v>
      </c>
    </row>
    <row r="1423" spans="1:16">
      <c r="A1423" s="1" t="str">
        <f t="shared" si="481"/>
        <v>20191120</v>
      </c>
      <c r="B1423" s="1"/>
      <c r="C1423" s="1"/>
      <c r="D1423" s="1" t="str">
        <f t="shared" si="480"/>
        <v>偿还融资利息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-36</v>
      </c>
      <c r="O1423" s="1">
        <v>34557.86</v>
      </c>
      <c r="P1423" s="1">
        <v>0</v>
      </c>
    </row>
    <row r="1424" spans="1:16">
      <c r="A1424" s="1" t="str">
        <f>"20191121"</f>
        <v>20191121</v>
      </c>
      <c r="B1424" s="1" t="str">
        <f>"000768"</f>
        <v>000768</v>
      </c>
      <c r="C1424" s="1" t="str">
        <f>"中航飞机"</f>
        <v>中航飞机</v>
      </c>
      <c r="D1424" s="1" t="str">
        <f>"融资买入"</f>
        <v>融资买入</v>
      </c>
      <c r="E1424" s="1">
        <v>15.65</v>
      </c>
      <c r="F1424" s="1">
        <v>2000</v>
      </c>
      <c r="G1424" s="1">
        <v>31300</v>
      </c>
      <c r="H1424" s="1">
        <v>15.65</v>
      </c>
      <c r="I1424" s="1">
        <v>12.87</v>
      </c>
      <c r="J1424" s="1">
        <v>0</v>
      </c>
      <c r="K1424" s="1">
        <v>0</v>
      </c>
      <c r="L1424" s="1">
        <v>0</v>
      </c>
      <c r="M1424" s="1">
        <v>0</v>
      </c>
      <c r="N1424" s="1">
        <v>-31315.65</v>
      </c>
      <c r="O1424" s="1">
        <v>3242.21</v>
      </c>
      <c r="P1424" s="1">
        <v>4000</v>
      </c>
    </row>
    <row r="1425" spans="1:16">
      <c r="A1425" s="1" t="str">
        <f>"20191121"</f>
        <v>20191121</v>
      </c>
      <c r="B1425" s="1"/>
      <c r="C1425" s="1"/>
      <c r="D1425" s="1" t="str">
        <f>"融资借入"</f>
        <v>融资借入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31315.65</v>
      </c>
      <c r="O1425" s="1">
        <v>34557.86</v>
      </c>
      <c r="P1425" s="1">
        <v>0</v>
      </c>
    </row>
    <row r="1426" spans="1:16">
      <c r="A1426" s="1" t="str">
        <f>"20191126"</f>
        <v>20191126</v>
      </c>
      <c r="B1426" s="1" t="str">
        <f>"511990"</f>
        <v>511990</v>
      </c>
      <c r="C1426" s="1" t="str">
        <f>"华宝添益"</f>
        <v>华宝添益</v>
      </c>
      <c r="D1426" s="1" t="str">
        <f>"红股入账"</f>
        <v>红股入账</v>
      </c>
      <c r="E1426" s="1">
        <v>0</v>
      </c>
      <c r="F1426" s="1">
        <v>1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34557.86</v>
      </c>
      <c r="P1426" s="1">
        <v>2502</v>
      </c>
    </row>
    <row r="1427" spans="1:16">
      <c r="A1427" s="1" t="str">
        <f t="shared" ref="A1427:A1441" si="482">"20191127"</f>
        <v>20191127</v>
      </c>
      <c r="B1427" s="1" t="str">
        <f>"000768"</f>
        <v>000768</v>
      </c>
      <c r="C1427" s="1" t="str">
        <f>"中航飞机"</f>
        <v>中航飞机</v>
      </c>
      <c r="D1427" s="1" t="str">
        <f>"卖券还款"</f>
        <v>卖券还款</v>
      </c>
      <c r="E1427" s="1">
        <v>15.81</v>
      </c>
      <c r="F1427" s="1">
        <v>2000</v>
      </c>
      <c r="G1427" s="1">
        <v>31620</v>
      </c>
      <c r="H1427" s="1">
        <v>15.81</v>
      </c>
      <c r="I1427" s="1">
        <v>13.01</v>
      </c>
      <c r="J1427" s="1">
        <v>31.62</v>
      </c>
      <c r="K1427" s="1">
        <v>0</v>
      </c>
      <c r="L1427" s="1">
        <v>0</v>
      </c>
      <c r="M1427" s="1">
        <v>0</v>
      </c>
      <c r="N1427" s="1">
        <v>31572.57</v>
      </c>
      <c r="O1427" s="1">
        <v>66130.43</v>
      </c>
      <c r="P1427" s="1">
        <v>2000</v>
      </c>
    </row>
    <row r="1428" spans="1:16">
      <c r="A1428" s="1" t="str">
        <f t="shared" si="482"/>
        <v>20191127</v>
      </c>
      <c r="B1428" s="1" t="str">
        <f>"000543"</f>
        <v>000543</v>
      </c>
      <c r="C1428" s="1" t="str">
        <f>"皖能电力"</f>
        <v>皖能电力</v>
      </c>
      <c r="D1428" s="1" t="str">
        <f>"卖券还款"</f>
        <v>卖券还款</v>
      </c>
      <c r="E1428" s="1">
        <v>4.73</v>
      </c>
      <c r="F1428" s="1">
        <v>3000</v>
      </c>
      <c r="G1428" s="1">
        <v>14190</v>
      </c>
      <c r="H1428" s="1">
        <v>7.1</v>
      </c>
      <c r="I1428" s="1">
        <v>5.84</v>
      </c>
      <c r="J1428" s="1">
        <v>14.19</v>
      </c>
      <c r="K1428" s="1">
        <v>0</v>
      </c>
      <c r="L1428" s="1">
        <v>0</v>
      </c>
      <c r="M1428" s="1">
        <v>0</v>
      </c>
      <c r="N1428" s="1">
        <v>14168.71</v>
      </c>
      <c r="O1428" s="1">
        <v>80299.14</v>
      </c>
      <c r="P1428" s="1">
        <v>10000</v>
      </c>
    </row>
    <row r="1429" spans="1:16">
      <c r="A1429" s="1" t="str">
        <f t="shared" si="482"/>
        <v>20191127</v>
      </c>
      <c r="B1429" s="1"/>
      <c r="C1429" s="1"/>
      <c r="D1429" s="1" t="str">
        <f t="shared" ref="D1429:D1433" si="483">"偿还融资利息"</f>
        <v>偿还融资利息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-0.11</v>
      </c>
      <c r="O1429" s="1">
        <v>80299.03</v>
      </c>
      <c r="P1429" s="1">
        <v>0</v>
      </c>
    </row>
    <row r="1430" spans="1:16">
      <c r="A1430" s="1" t="str">
        <f t="shared" si="482"/>
        <v>20191127</v>
      </c>
      <c r="B1430" s="1"/>
      <c r="C1430" s="1"/>
      <c r="D1430" s="1" t="str">
        <f t="shared" ref="D1430:D1434" si="484">"偿还融资负债本金"</f>
        <v>偿还融资负债本金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-67.55</v>
      </c>
      <c r="O1430" s="1">
        <v>80231.48</v>
      </c>
      <c r="P1430" s="1">
        <v>0</v>
      </c>
    </row>
    <row r="1431" spans="1:16">
      <c r="A1431" s="1" t="str">
        <f t="shared" si="482"/>
        <v>20191127</v>
      </c>
      <c r="B1431" s="1"/>
      <c r="C1431" s="1"/>
      <c r="D1431" s="1" t="str">
        <f t="shared" si="483"/>
        <v>偿还融资利息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-10.86</v>
      </c>
      <c r="O1431" s="1">
        <v>80220.62</v>
      </c>
      <c r="P1431" s="1">
        <v>0</v>
      </c>
    </row>
    <row r="1432" spans="1:16">
      <c r="A1432" s="1" t="str">
        <f t="shared" si="482"/>
        <v>20191127</v>
      </c>
      <c r="B1432" s="1"/>
      <c r="C1432" s="1"/>
      <c r="D1432" s="1" t="str">
        <f t="shared" si="484"/>
        <v>偿还融资负债本金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-7800</v>
      </c>
      <c r="O1432" s="1">
        <v>72420.62</v>
      </c>
      <c r="P1432" s="1">
        <v>0</v>
      </c>
    </row>
    <row r="1433" spans="1:16">
      <c r="A1433" s="1" t="str">
        <f t="shared" si="482"/>
        <v>20191127</v>
      </c>
      <c r="B1433" s="1"/>
      <c r="C1433" s="1"/>
      <c r="D1433" s="1" t="str">
        <f t="shared" si="483"/>
        <v>偿还融资利息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-10.15</v>
      </c>
      <c r="O1433" s="1">
        <v>72410.47</v>
      </c>
      <c r="P1433" s="1">
        <v>0</v>
      </c>
    </row>
    <row r="1434" spans="1:16">
      <c r="A1434" s="1" t="str">
        <f t="shared" si="482"/>
        <v>20191127</v>
      </c>
      <c r="B1434" s="1"/>
      <c r="C1434" s="1"/>
      <c r="D1434" s="1" t="str">
        <f t="shared" si="484"/>
        <v>偿还融资负债本金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-7300.15</v>
      </c>
      <c r="O1434" s="1">
        <v>65110.32</v>
      </c>
      <c r="P1434" s="1">
        <v>0</v>
      </c>
    </row>
    <row r="1435" spans="1:16">
      <c r="A1435" s="1" t="str">
        <f t="shared" si="482"/>
        <v>20191127</v>
      </c>
      <c r="B1435" s="1"/>
      <c r="C1435" s="1"/>
      <c r="D1435" s="1" t="str">
        <f t="shared" ref="D1435:D1440" si="485">"偿还融资利息"</f>
        <v>偿还融资利息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-21.36</v>
      </c>
      <c r="O1435" s="1">
        <v>65088.96</v>
      </c>
      <c r="P1435" s="1">
        <v>0</v>
      </c>
    </row>
    <row r="1436" spans="1:16">
      <c r="A1436" s="1" t="str">
        <f t="shared" si="482"/>
        <v>20191127</v>
      </c>
      <c r="B1436" s="1"/>
      <c r="C1436" s="1"/>
      <c r="D1436" s="1" t="str">
        <f t="shared" ref="D1436:D1439" si="486">"偿还融资负债本金"</f>
        <v>偿还融资负债本金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-15347.67</v>
      </c>
      <c r="O1436" s="1">
        <v>49741.29</v>
      </c>
      <c r="P1436" s="1">
        <v>0</v>
      </c>
    </row>
    <row r="1437" spans="1:16">
      <c r="A1437" s="1" t="str">
        <f t="shared" si="482"/>
        <v>20191127</v>
      </c>
      <c r="B1437" s="1"/>
      <c r="C1437" s="1"/>
      <c r="D1437" s="1" t="str">
        <f t="shared" si="485"/>
        <v>偿还融资利息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-19.14</v>
      </c>
      <c r="O1437" s="1">
        <v>49722.15</v>
      </c>
      <c r="P1437" s="1">
        <v>0</v>
      </c>
    </row>
    <row r="1438" spans="1:16">
      <c r="A1438" s="1" t="str">
        <f t="shared" si="482"/>
        <v>20191127</v>
      </c>
      <c r="B1438" s="1"/>
      <c r="C1438" s="1"/>
      <c r="D1438" s="1" t="str">
        <f t="shared" si="486"/>
        <v>偿还融资负债本金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-916.53</v>
      </c>
      <c r="O1438" s="1">
        <v>48805.62</v>
      </c>
      <c r="P1438" s="1">
        <v>0</v>
      </c>
    </row>
    <row r="1439" spans="1:16">
      <c r="A1439" s="1" t="str">
        <f t="shared" si="482"/>
        <v>20191127</v>
      </c>
      <c r="B1439" s="1"/>
      <c r="C1439" s="1"/>
      <c r="D1439" s="1" t="str">
        <f t="shared" si="486"/>
        <v>偿还融资负债本金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-12830.34</v>
      </c>
      <c r="O1439" s="1">
        <v>35975.28</v>
      </c>
      <c r="P1439" s="1">
        <v>0</v>
      </c>
    </row>
    <row r="1440" spans="1:16">
      <c r="A1440" s="1" t="str">
        <f t="shared" si="482"/>
        <v>20191127</v>
      </c>
      <c r="B1440" s="1"/>
      <c r="C1440" s="1"/>
      <c r="D1440" s="1" t="str">
        <f t="shared" si="485"/>
        <v>偿还融资利息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-10.14</v>
      </c>
      <c r="O1440" s="1">
        <v>35965.14</v>
      </c>
      <c r="P1440" s="1">
        <v>0</v>
      </c>
    </row>
    <row r="1441" spans="1:16">
      <c r="A1441" s="1" t="str">
        <f t="shared" si="482"/>
        <v>20191127</v>
      </c>
      <c r="B1441" s="1"/>
      <c r="C1441" s="1"/>
      <c r="D1441" s="1" t="str">
        <f>"偿还融资负债本金"</f>
        <v>偿还融资负债本金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-1292.76</v>
      </c>
      <c r="O1441" s="1">
        <v>34672.38</v>
      </c>
      <c r="P1441" s="1">
        <v>0</v>
      </c>
    </row>
    <row r="1442" spans="1:16">
      <c r="A1442" s="1" t="str">
        <f>"20191128"</f>
        <v>20191128</v>
      </c>
      <c r="B1442" s="1" t="str">
        <f>"000543"</f>
        <v>000543</v>
      </c>
      <c r="C1442" s="1" t="str">
        <f>"皖能电力"</f>
        <v>皖能电力</v>
      </c>
      <c r="D1442" s="1" t="str">
        <f>"股息红利差异扣税"</f>
        <v>股息红利差异扣税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-6.6</v>
      </c>
      <c r="O1442" s="1">
        <v>34665.78</v>
      </c>
      <c r="P1442" s="1">
        <v>0</v>
      </c>
    </row>
    <row r="1443" spans="1:16">
      <c r="A1443" s="1" t="str">
        <f>"20191202"</f>
        <v>20191202</v>
      </c>
      <c r="B1443" s="1" t="str">
        <f t="shared" ref="B1443:B1445" si="487">"511990"</f>
        <v>511990</v>
      </c>
      <c r="C1443" s="1" t="str">
        <f t="shared" ref="C1443:C1445" si="488">"华宝添益"</f>
        <v>华宝添益</v>
      </c>
      <c r="D1443" s="1" t="str">
        <f>"红股入账"</f>
        <v>红股入账</v>
      </c>
      <c r="E1443" s="1">
        <v>0</v>
      </c>
      <c r="F1443" s="1">
        <v>1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34665.78</v>
      </c>
      <c r="P1443" s="1">
        <v>2503</v>
      </c>
    </row>
    <row r="1444" spans="1:16">
      <c r="A1444" s="1" t="str">
        <f>"20191203"</f>
        <v>20191203</v>
      </c>
      <c r="B1444" s="1" t="str">
        <f t="shared" si="487"/>
        <v>511990</v>
      </c>
      <c r="C1444" s="1" t="str">
        <f t="shared" si="488"/>
        <v>华宝添益</v>
      </c>
      <c r="D1444" s="1" t="str">
        <f>"担保物转出"</f>
        <v>担保物转出</v>
      </c>
      <c r="E1444" s="1">
        <v>99.988</v>
      </c>
      <c r="F1444" s="1">
        <v>2503</v>
      </c>
      <c r="G1444" s="1">
        <v>250269.96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34665.78</v>
      </c>
      <c r="P1444" s="1">
        <v>0</v>
      </c>
    </row>
    <row r="1445" spans="1:16">
      <c r="A1445" s="1" t="str">
        <f>"20191204"</f>
        <v>20191204</v>
      </c>
      <c r="B1445" s="1" t="str">
        <f t="shared" si="487"/>
        <v>511990</v>
      </c>
      <c r="C1445" s="1" t="str">
        <f t="shared" si="488"/>
        <v>华宝添益</v>
      </c>
      <c r="D1445" s="1" t="str">
        <f>"ETF 申购退款"</f>
        <v>ETF 申购退款</v>
      </c>
      <c r="E1445" s="1">
        <v>0</v>
      </c>
      <c r="F1445" s="1">
        <v>0</v>
      </c>
      <c r="G1445" s="1">
        <v>17.04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17.04</v>
      </c>
      <c r="O1445" s="1">
        <v>34682.82</v>
      </c>
      <c r="P1445" s="1">
        <v>0</v>
      </c>
    </row>
    <row r="1446" spans="1:16">
      <c r="A1446" s="1" t="str">
        <f t="shared" ref="A1446:A1450" si="489">"20191209"</f>
        <v>20191209</v>
      </c>
      <c r="B1446" s="1" t="str">
        <f>"000768"</f>
        <v>000768</v>
      </c>
      <c r="C1446" s="1" t="str">
        <f>"中航飞机"</f>
        <v>中航飞机</v>
      </c>
      <c r="D1446" s="1" t="str">
        <f>"卖券还款"</f>
        <v>卖券还款</v>
      </c>
      <c r="E1446" s="1">
        <v>16.19</v>
      </c>
      <c r="F1446" s="1">
        <v>1000</v>
      </c>
      <c r="G1446" s="1">
        <v>16190</v>
      </c>
      <c r="H1446" s="1">
        <v>8.1</v>
      </c>
      <c r="I1446" s="1">
        <v>6.66</v>
      </c>
      <c r="J1446" s="1">
        <v>16.19</v>
      </c>
      <c r="K1446" s="1">
        <v>0</v>
      </c>
      <c r="L1446" s="1">
        <v>0</v>
      </c>
      <c r="M1446" s="1">
        <v>0</v>
      </c>
      <c r="N1446" s="1">
        <v>16165.71</v>
      </c>
      <c r="O1446" s="1">
        <v>50848.53</v>
      </c>
      <c r="P1446" s="1">
        <v>1000</v>
      </c>
    </row>
    <row r="1447" spans="1:16">
      <c r="A1447" s="1" t="str">
        <f t="shared" si="489"/>
        <v>20191209</v>
      </c>
      <c r="B1447" s="1"/>
      <c r="C1447" s="1"/>
      <c r="D1447" s="1" t="str">
        <f>"偿还融资利息"</f>
        <v>偿还融资利息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-16.68</v>
      </c>
      <c r="O1447" s="1">
        <v>50831.85</v>
      </c>
      <c r="P1447" s="1">
        <v>0</v>
      </c>
    </row>
    <row r="1448" spans="1:16">
      <c r="A1448" s="1" t="str">
        <f t="shared" si="489"/>
        <v>20191209</v>
      </c>
      <c r="B1448" s="1"/>
      <c r="C1448" s="1"/>
      <c r="D1448" s="1" t="str">
        <f>"偿还融资负债本金"</f>
        <v>偿还融资负债本金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-5987.24</v>
      </c>
      <c r="O1448" s="1">
        <v>44844.61</v>
      </c>
      <c r="P1448" s="1">
        <v>0</v>
      </c>
    </row>
    <row r="1449" spans="1:16">
      <c r="A1449" s="1" t="str">
        <f t="shared" si="489"/>
        <v>20191209</v>
      </c>
      <c r="B1449" s="1"/>
      <c r="C1449" s="1"/>
      <c r="D1449" s="1" t="str">
        <f>"偿还融资利息"</f>
        <v>偿还融资利息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-64.8</v>
      </c>
      <c r="O1449" s="1">
        <v>44779.81</v>
      </c>
      <c r="P1449" s="1">
        <v>0</v>
      </c>
    </row>
    <row r="1450" spans="1:16">
      <c r="A1450" s="1" t="str">
        <f t="shared" si="489"/>
        <v>20191209</v>
      </c>
      <c r="B1450" s="1"/>
      <c r="C1450" s="1"/>
      <c r="D1450" s="1" t="str">
        <f>"偿还融资负债本金"</f>
        <v>偿还融资负债本金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-10056.52</v>
      </c>
      <c r="O1450" s="1">
        <v>34723.29</v>
      </c>
      <c r="P1450" s="1">
        <v>0</v>
      </c>
    </row>
    <row r="1451" spans="1:16">
      <c r="A1451" s="1" t="str">
        <f>"20191210"</f>
        <v>20191210</v>
      </c>
      <c r="B1451" s="1"/>
      <c r="C1451" s="1"/>
      <c r="D1451" s="1" t="str">
        <f>"证券转银行"</f>
        <v>证券转银行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-28000</v>
      </c>
      <c r="O1451" s="1">
        <v>6723.29</v>
      </c>
      <c r="P1451" s="1">
        <v>0</v>
      </c>
    </row>
    <row r="1452" spans="1:16">
      <c r="A1452" s="1" t="str">
        <f>"20191211"</f>
        <v>20191211</v>
      </c>
      <c r="B1452" s="1" t="str">
        <f>"000543"</f>
        <v>000543</v>
      </c>
      <c r="C1452" s="1" t="str">
        <f>"皖能电力"</f>
        <v>皖能电力</v>
      </c>
      <c r="D1452" s="1" t="str">
        <f>"融资买入"</f>
        <v>融资买入</v>
      </c>
      <c r="E1452" s="1">
        <v>4.5</v>
      </c>
      <c r="F1452" s="1">
        <v>3000</v>
      </c>
      <c r="G1452" s="1">
        <v>13500</v>
      </c>
      <c r="H1452" s="1">
        <v>6.75</v>
      </c>
      <c r="I1452" s="1">
        <v>5.55</v>
      </c>
      <c r="J1452" s="1">
        <v>0</v>
      </c>
      <c r="K1452" s="1">
        <v>0</v>
      </c>
      <c r="L1452" s="1">
        <v>0</v>
      </c>
      <c r="M1452" s="1">
        <v>0</v>
      </c>
      <c r="N1452" s="1">
        <v>-13506.75</v>
      </c>
      <c r="O1452" s="1">
        <v>-6783.46</v>
      </c>
      <c r="P1452" s="1">
        <v>13000</v>
      </c>
    </row>
    <row r="1453" spans="1:16">
      <c r="A1453" s="1" t="str">
        <f>"20191211"</f>
        <v>20191211</v>
      </c>
      <c r="B1453" s="1"/>
      <c r="C1453" s="1"/>
      <c r="D1453" s="1" t="str">
        <f>"融资借入"</f>
        <v>融资借入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13506.75</v>
      </c>
      <c r="O1453" s="1">
        <v>6723.29</v>
      </c>
      <c r="P1453" s="1">
        <v>0</v>
      </c>
    </row>
    <row r="1454" spans="1:16">
      <c r="A1454" s="1" t="str">
        <f t="shared" ref="A1454:A1456" si="490">"20191213"</f>
        <v>20191213</v>
      </c>
      <c r="B1454" s="1" t="str">
        <f>"000768"</f>
        <v>000768</v>
      </c>
      <c r="C1454" s="1" t="str">
        <f>"中航飞机"</f>
        <v>中航飞机</v>
      </c>
      <c r="D1454" s="1" t="str">
        <f>"融资买入"</f>
        <v>融资买入</v>
      </c>
      <c r="E1454" s="1">
        <v>15.99</v>
      </c>
      <c r="F1454" s="1">
        <v>1000</v>
      </c>
      <c r="G1454" s="1">
        <v>15990</v>
      </c>
      <c r="H1454" s="1">
        <v>8</v>
      </c>
      <c r="I1454" s="1">
        <v>6.58</v>
      </c>
      <c r="J1454" s="1">
        <v>0</v>
      </c>
      <c r="K1454" s="1">
        <v>0</v>
      </c>
      <c r="L1454" s="1">
        <v>0</v>
      </c>
      <c r="M1454" s="1">
        <v>0</v>
      </c>
      <c r="N1454" s="1">
        <v>-15998</v>
      </c>
      <c r="O1454" s="1">
        <v>-9274.71</v>
      </c>
      <c r="P1454" s="1">
        <v>2000</v>
      </c>
    </row>
    <row r="1455" spans="1:16">
      <c r="A1455" s="1" t="str">
        <f t="shared" si="490"/>
        <v>20191213</v>
      </c>
      <c r="B1455" s="1" t="str">
        <f>"600028"</f>
        <v>600028</v>
      </c>
      <c r="C1455" s="1" t="str">
        <f>"中国石化"</f>
        <v>中国石化</v>
      </c>
      <c r="D1455" s="1" t="str">
        <f>"担保品买入"</f>
        <v>担保品买入</v>
      </c>
      <c r="E1455" s="1">
        <v>4.97</v>
      </c>
      <c r="F1455" s="1">
        <v>1300</v>
      </c>
      <c r="G1455" s="1">
        <v>6461</v>
      </c>
      <c r="H1455" s="1">
        <v>5</v>
      </c>
      <c r="I1455" s="1">
        <v>4.56</v>
      </c>
      <c r="J1455" s="1">
        <v>0</v>
      </c>
      <c r="K1455" s="1">
        <v>0.13</v>
      </c>
      <c r="L1455" s="1">
        <v>0</v>
      </c>
      <c r="M1455" s="1">
        <v>0</v>
      </c>
      <c r="N1455" s="1">
        <v>-6466.13</v>
      </c>
      <c r="O1455" s="1">
        <v>-15740.84</v>
      </c>
      <c r="P1455" s="1">
        <v>1300</v>
      </c>
    </row>
    <row r="1456" spans="1:16">
      <c r="A1456" s="1" t="str">
        <f t="shared" si="490"/>
        <v>20191213</v>
      </c>
      <c r="B1456" s="1"/>
      <c r="C1456" s="1"/>
      <c r="D1456" s="1" t="str">
        <f>"融资借入"</f>
        <v>融资借入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15998</v>
      </c>
      <c r="O1456" s="1">
        <v>257.16</v>
      </c>
      <c r="P1456" s="1">
        <v>0</v>
      </c>
    </row>
    <row r="1457" spans="1:16">
      <c r="A1457" s="1" t="str">
        <f t="shared" ref="A1457:A1461" si="491">"20191216"</f>
        <v>20191216</v>
      </c>
      <c r="B1457" s="1" t="str">
        <f>"000543"</f>
        <v>000543</v>
      </c>
      <c r="C1457" s="1" t="str">
        <f>"皖能电力"</f>
        <v>皖能电力</v>
      </c>
      <c r="D1457" s="1" t="str">
        <f>"卖券还款"</f>
        <v>卖券还款</v>
      </c>
      <c r="E1457" s="1">
        <v>4.61</v>
      </c>
      <c r="F1457" s="1">
        <v>3000</v>
      </c>
      <c r="G1457" s="1">
        <v>13830</v>
      </c>
      <c r="H1457" s="1">
        <v>6.92</v>
      </c>
      <c r="I1457" s="1">
        <v>5.69</v>
      </c>
      <c r="J1457" s="1">
        <v>13.83</v>
      </c>
      <c r="K1457" s="1">
        <v>0</v>
      </c>
      <c r="L1457" s="1">
        <v>0</v>
      </c>
      <c r="M1457" s="1">
        <v>0</v>
      </c>
      <c r="N1457" s="1">
        <v>13809.25</v>
      </c>
      <c r="O1457" s="1">
        <v>14066.41</v>
      </c>
      <c r="P1457" s="1">
        <v>10000</v>
      </c>
    </row>
    <row r="1458" spans="1:16">
      <c r="A1458" s="1" t="str">
        <f t="shared" si="491"/>
        <v>20191216</v>
      </c>
      <c r="B1458" s="1"/>
      <c r="C1458" s="1"/>
      <c r="D1458" s="1" t="str">
        <f>"偿还融资利息"</f>
        <v>偿还融资利息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-8.89</v>
      </c>
      <c r="O1458" s="1">
        <v>14057.52</v>
      </c>
      <c r="P1458" s="1">
        <v>0</v>
      </c>
    </row>
    <row r="1459" spans="1:16">
      <c r="A1459" s="1" t="str">
        <f t="shared" si="491"/>
        <v>20191216</v>
      </c>
      <c r="B1459" s="1"/>
      <c r="C1459" s="1"/>
      <c r="D1459" s="1" t="str">
        <f>"偿还融资负债本金"</f>
        <v>偿还融资负债本金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-5471.24</v>
      </c>
      <c r="O1459" s="1">
        <v>8586.28</v>
      </c>
      <c r="P1459" s="1">
        <v>0</v>
      </c>
    </row>
    <row r="1460" spans="1:16">
      <c r="A1460" s="1" t="str">
        <f t="shared" si="491"/>
        <v>20191216</v>
      </c>
      <c r="B1460" s="1"/>
      <c r="C1460" s="1"/>
      <c r="D1460" s="1" t="str">
        <f t="shared" ref="D1460:D1466" si="492">"偿还融资利息"</f>
        <v>偿还融资利息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-181.54</v>
      </c>
      <c r="O1460" s="1">
        <v>8404.74</v>
      </c>
      <c r="P1460" s="1">
        <v>0</v>
      </c>
    </row>
    <row r="1461" spans="1:16">
      <c r="A1461" s="1" t="str">
        <f t="shared" si="491"/>
        <v>20191216</v>
      </c>
      <c r="B1461" s="1"/>
      <c r="C1461" s="1"/>
      <c r="D1461" s="1" t="str">
        <f>"偿还融资负债本金"</f>
        <v>偿还融资负债本金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-8113.01</v>
      </c>
      <c r="O1461" s="1">
        <v>291.73</v>
      </c>
      <c r="P1461" s="1">
        <v>0</v>
      </c>
    </row>
    <row r="1462" spans="1:16">
      <c r="A1462" s="1" t="str">
        <f>"20191217"</f>
        <v>20191217</v>
      </c>
      <c r="B1462" s="1" t="str">
        <f>"000543"</f>
        <v>000543</v>
      </c>
      <c r="C1462" s="1" t="str">
        <f>"皖能电力"</f>
        <v>皖能电力</v>
      </c>
      <c r="D1462" s="1" t="str">
        <f>"股息红利差异扣税"</f>
        <v>股息红利差异扣税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-13.2</v>
      </c>
      <c r="O1462" s="1">
        <v>278.53</v>
      </c>
      <c r="P1462" s="1">
        <v>0</v>
      </c>
    </row>
    <row r="1463" spans="1:16">
      <c r="A1463" s="1" t="str">
        <f t="shared" ref="A1463:A1466" si="493">"20191220"</f>
        <v>20191220</v>
      </c>
      <c r="B1463" s="1"/>
      <c r="C1463" s="1"/>
      <c r="D1463" s="1" t="str">
        <f>"利息归本"</f>
        <v>利息归本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22.3</v>
      </c>
      <c r="O1463" s="1">
        <v>300.83</v>
      </c>
      <c r="P1463" s="1">
        <v>0</v>
      </c>
    </row>
    <row r="1464" spans="1:16">
      <c r="A1464" s="1" t="str">
        <f t="shared" si="493"/>
        <v>20191220</v>
      </c>
      <c r="B1464" s="1"/>
      <c r="C1464" s="1"/>
      <c r="D1464" s="1" t="str">
        <f t="shared" si="492"/>
        <v>偿还融资利息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-26.9</v>
      </c>
      <c r="O1464" s="1">
        <v>273.93</v>
      </c>
      <c r="P1464" s="1">
        <v>0</v>
      </c>
    </row>
    <row r="1465" spans="1:16">
      <c r="A1465" s="1" t="str">
        <f t="shared" si="493"/>
        <v>20191220</v>
      </c>
      <c r="B1465" s="1"/>
      <c r="C1465" s="1"/>
      <c r="D1465" s="1" t="str">
        <f t="shared" si="492"/>
        <v>偿还融资利息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-31.31</v>
      </c>
      <c r="O1465" s="1">
        <v>242.62</v>
      </c>
      <c r="P1465" s="1">
        <v>0</v>
      </c>
    </row>
    <row r="1466" spans="1:16">
      <c r="A1466" s="1" t="str">
        <f t="shared" si="493"/>
        <v>20191220</v>
      </c>
      <c r="B1466" s="1"/>
      <c r="C1466" s="1"/>
      <c r="D1466" s="1" t="str">
        <f t="shared" si="492"/>
        <v>偿还融资利息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-29.68</v>
      </c>
      <c r="O1466" s="1">
        <v>212.94</v>
      </c>
      <c r="P1466" s="1">
        <v>0</v>
      </c>
    </row>
    <row r="1467" spans="1:16">
      <c r="A1467" s="1" t="str">
        <f>"20191226"</f>
        <v>20191226</v>
      </c>
      <c r="B1467" s="1" t="str">
        <f>"000543"</f>
        <v>000543</v>
      </c>
      <c r="C1467" s="1" t="str">
        <f>"皖能电力"</f>
        <v>皖能电力</v>
      </c>
      <c r="D1467" s="1" t="str">
        <f>"融资买入"</f>
        <v>融资买入</v>
      </c>
      <c r="E1467" s="1">
        <v>4.56</v>
      </c>
      <c r="F1467" s="1">
        <v>3000</v>
      </c>
      <c r="G1467" s="1">
        <v>13680</v>
      </c>
      <c r="H1467" s="1">
        <v>6.84</v>
      </c>
      <c r="I1467" s="1">
        <v>5.62</v>
      </c>
      <c r="J1467" s="1">
        <v>0</v>
      </c>
      <c r="K1467" s="1">
        <v>0</v>
      </c>
      <c r="L1467" s="1">
        <v>0</v>
      </c>
      <c r="M1467" s="1">
        <v>0</v>
      </c>
      <c r="N1467" s="1">
        <v>-13686.84</v>
      </c>
      <c r="O1467" s="1">
        <v>-13473.9</v>
      </c>
      <c r="P1467" s="1">
        <v>13000</v>
      </c>
    </row>
    <row r="1468" spans="1:16">
      <c r="A1468" s="1" t="str">
        <f>"20191226"</f>
        <v>20191226</v>
      </c>
      <c r="B1468" s="1"/>
      <c r="C1468" s="1"/>
      <c r="D1468" s="1" t="str">
        <f>"融资借入"</f>
        <v>融资借入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13686.84</v>
      </c>
      <c r="O1468" s="1">
        <v>212.94</v>
      </c>
      <c r="P1468" s="1">
        <v>0</v>
      </c>
    </row>
    <row r="1469" spans="1:16">
      <c r="A1469" s="1" t="str">
        <f>"20191230"</f>
        <v>20191230</v>
      </c>
      <c r="B1469" s="1"/>
      <c r="C1469" s="1"/>
      <c r="D1469" s="1" t="str">
        <f>"偿还融资利息"</f>
        <v>偿还融资利息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-48.42</v>
      </c>
      <c r="O1469" s="1">
        <v>164.52</v>
      </c>
      <c r="P1469" s="1">
        <v>0</v>
      </c>
    </row>
    <row r="1470" spans="1:16">
      <c r="A1470" s="1" t="str">
        <f>"20191230"</f>
        <v>20191230</v>
      </c>
      <c r="B1470" s="1"/>
      <c r="C1470" s="1"/>
      <c r="D1470" s="1" t="str">
        <f>"偿还融资负债本金"</f>
        <v>偿还融资负债本金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-151.58</v>
      </c>
      <c r="O1470" s="1">
        <v>12.94</v>
      </c>
      <c r="P1470" s="1">
        <v>0</v>
      </c>
    </row>
    <row r="1471" spans="1:16">
      <c r="A1471" s="1" t="str">
        <f t="shared" ref="A1471:A1473" si="494">"20200103"</f>
        <v>20200103</v>
      </c>
      <c r="B1471" s="1" t="str">
        <f>"000768"</f>
        <v>000768</v>
      </c>
      <c r="C1471" s="1" t="str">
        <f>"中航飞机"</f>
        <v>中航飞机</v>
      </c>
      <c r="D1471" s="1" t="str">
        <f>"卖券还款"</f>
        <v>卖券还款</v>
      </c>
      <c r="E1471" s="1">
        <v>17.04</v>
      </c>
      <c r="F1471" s="1">
        <v>1000</v>
      </c>
      <c r="G1471" s="1">
        <v>17040</v>
      </c>
      <c r="H1471" s="1">
        <v>8.52</v>
      </c>
      <c r="I1471" s="1">
        <v>7.01</v>
      </c>
      <c r="J1471" s="1">
        <v>17.04</v>
      </c>
      <c r="K1471" s="1">
        <v>0</v>
      </c>
      <c r="L1471" s="1">
        <v>0</v>
      </c>
      <c r="M1471" s="1">
        <v>0</v>
      </c>
      <c r="N1471" s="1">
        <v>17014.44</v>
      </c>
      <c r="O1471" s="1">
        <v>17027.38</v>
      </c>
      <c r="P1471" s="1">
        <v>1000</v>
      </c>
    </row>
    <row r="1472" spans="1:16">
      <c r="A1472" s="1" t="str">
        <f t="shared" si="494"/>
        <v>20200103</v>
      </c>
      <c r="B1472" s="1"/>
      <c r="C1472" s="1"/>
      <c r="D1472" s="1" t="str">
        <f>"偿还融资利息"</f>
        <v>偿还融资利息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-21.4</v>
      </c>
      <c r="O1472" s="1">
        <v>17005.98</v>
      </c>
      <c r="P1472" s="1">
        <v>0</v>
      </c>
    </row>
    <row r="1473" spans="1:16">
      <c r="A1473" s="1" t="str">
        <f t="shared" si="494"/>
        <v>20200103</v>
      </c>
      <c r="B1473" s="1"/>
      <c r="C1473" s="1"/>
      <c r="D1473" s="1" t="str">
        <f>"偿还融资负债本金"</f>
        <v>偿还融资负债本金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-16950.44</v>
      </c>
      <c r="O1473" s="1">
        <v>55.54</v>
      </c>
      <c r="P1473" s="1">
        <v>0</v>
      </c>
    </row>
    <row r="1474" spans="1:16">
      <c r="A1474" s="1" t="str">
        <f t="shared" ref="A1474:A1477" si="495">"20200106"</f>
        <v>20200106</v>
      </c>
      <c r="B1474" s="1" t="str">
        <f>"600028"</f>
        <v>600028</v>
      </c>
      <c r="C1474" s="1" t="str">
        <f>"中国石化"</f>
        <v>中国石化</v>
      </c>
      <c r="D1474" s="1" t="str">
        <f>"担保品卖出"</f>
        <v>担保品卖出</v>
      </c>
      <c r="E1474" s="1">
        <v>5.38</v>
      </c>
      <c r="F1474" s="1">
        <v>1300</v>
      </c>
      <c r="G1474" s="1">
        <v>6994</v>
      </c>
      <c r="H1474" s="1">
        <v>5</v>
      </c>
      <c r="I1474" s="1">
        <v>4.52</v>
      </c>
      <c r="J1474" s="1">
        <v>6.99</v>
      </c>
      <c r="K1474" s="1">
        <v>0.14</v>
      </c>
      <c r="L1474" s="1">
        <v>0</v>
      </c>
      <c r="M1474" s="1">
        <v>0</v>
      </c>
      <c r="N1474" s="1">
        <v>6981.87</v>
      </c>
      <c r="O1474" s="1">
        <v>7037.41</v>
      </c>
      <c r="P1474" s="1">
        <v>0</v>
      </c>
    </row>
    <row r="1475" spans="1:16">
      <c r="A1475" s="1" t="str">
        <f t="shared" si="495"/>
        <v>20200106</v>
      </c>
      <c r="B1475" s="1" t="str">
        <f>"000601"</f>
        <v>000601</v>
      </c>
      <c r="C1475" s="1" t="str">
        <f>"韶能股份"</f>
        <v>韶能股份</v>
      </c>
      <c r="D1475" s="1" t="str">
        <f>"担保品买入"</f>
        <v>担保品买入</v>
      </c>
      <c r="E1475" s="1">
        <v>5.66</v>
      </c>
      <c r="F1475" s="1">
        <v>1200</v>
      </c>
      <c r="G1475" s="1">
        <v>6792</v>
      </c>
      <c r="H1475" s="1">
        <v>5</v>
      </c>
      <c r="I1475" s="1">
        <v>4.39</v>
      </c>
      <c r="J1475" s="1">
        <v>0</v>
      </c>
      <c r="K1475" s="1">
        <v>0</v>
      </c>
      <c r="L1475" s="1">
        <v>0</v>
      </c>
      <c r="M1475" s="1">
        <v>0</v>
      </c>
      <c r="N1475" s="1">
        <v>-6797</v>
      </c>
      <c r="O1475" s="1">
        <v>240.41</v>
      </c>
      <c r="P1475" s="1">
        <v>31200</v>
      </c>
    </row>
    <row r="1476" spans="1:16">
      <c r="A1476" s="1" t="str">
        <f t="shared" si="495"/>
        <v>20200106</v>
      </c>
      <c r="B1476" s="1"/>
      <c r="C1476" s="1"/>
      <c r="D1476" s="1" t="str">
        <f t="shared" ref="D1476:D1481" si="496">"偿还融资利息"</f>
        <v>偿还融资利息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-4.25</v>
      </c>
      <c r="O1476" s="1">
        <v>236.16</v>
      </c>
      <c r="P1476" s="1">
        <v>0</v>
      </c>
    </row>
    <row r="1477" spans="1:16">
      <c r="A1477" s="1" t="str">
        <f t="shared" si="495"/>
        <v>20200106</v>
      </c>
      <c r="B1477" s="1"/>
      <c r="C1477" s="1"/>
      <c r="D1477" s="1" t="str">
        <f t="shared" ref="D1477:D1482" si="497">"偿还融资负债本金"</f>
        <v>偿还融资负债本金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-195.75</v>
      </c>
      <c r="O1477" s="1">
        <v>40.41</v>
      </c>
      <c r="P1477" s="1">
        <v>0</v>
      </c>
    </row>
    <row r="1478" spans="1:16">
      <c r="A1478" s="1" t="str">
        <f t="shared" ref="A1478:A1482" si="498">"20200108"</f>
        <v>20200108</v>
      </c>
      <c r="B1478" s="1" t="str">
        <f>"000768"</f>
        <v>000768</v>
      </c>
      <c r="C1478" s="1" t="str">
        <f>"中航飞机"</f>
        <v>中航飞机</v>
      </c>
      <c r="D1478" s="1" t="str">
        <f>"卖券还款"</f>
        <v>卖券还款</v>
      </c>
      <c r="E1478" s="1">
        <v>17.38</v>
      </c>
      <c r="F1478" s="1">
        <v>1000</v>
      </c>
      <c r="G1478" s="1">
        <v>17380</v>
      </c>
      <c r="H1478" s="1">
        <v>8.69</v>
      </c>
      <c r="I1478" s="1">
        <v>7.16</v>
      </c>
      <c r="J1478" s="1">
        <v>17.39</v>
      </c>
      <c r="K1478" s="1">
        <v>0</v>
      </c>
      <c r="L1478" s="1">
        <v>0</v>
      </c>
      <c r="M1478" s="1">
        <v>0</v>
      </c>
      <c r="N1478" s="1">
        <v>17353.92</v>
      </c>
      <c r="O1478" s="1">
        <v>17394.33</v>
      </c>
      <c r="P1478" s="1">
        <v>0</v>
      </c>
    </row>
    <row r="1479" spans="1:16">
      <c r="A1479" s="1" t="str">
        <f t="shared" si="498"/>
        <v>20200108</v>
      </c>
      <c r="B1479" s="1"/>
      <c r="C1479" s="1"/>
      <c r="D1479" s="1" t="str">
        <f t="shared" si="496"/>
        <v>偿还融资利息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-2.74</v>
      </c>
      <c r="O1479" s="1">
        <v>17391.59</v>
      </c>
      <c r="P1479" s="1">
        <v>0</v>
      </c>
    </row>
    <row r="1480" spans="1:16">
      <c r="A1480" s="1" t="str">
        <f t="shared" si="498"/>
        <v>20200108</v>
      </c>
      <c r="B1480" s="1"/>
      <c r="C1480" s="1"/>
      <c r="D1480" s="1" t="str">
        <f t="shared" si="497"/>
        <v>偿还融资负债本金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-5904.87</v>
      </c>
      <c r="O1480" s="1">
        <v>11486.72</v>
      </c>
      <c r="P1480" s="1">
        <v>0</v>
      </c>
    </row>
    <row r="1481" spans="1:16">
      <c r="A1481" s="1" t="str">
        <f t="shared" si="498"/>
        <v>20200108</v>
      </c>
      <c r="B1481" s="1"/>
      <c r="C1481" s="1"/>
      <c r="D1481" s="1" t="str">
        <f t="shared" si="496"/>
        <v>偿还融资利息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-56.37</v>
      </c>
      <c r="O1481" s="1">
        <v>11430.35</v>
      </c>
      <c r="P1481" s="1">
        <v>0</v>
      </c>
    </row>
    <row r="1482" spans="1:16">
      <c r="A1482" s="1" t="str">
        <f t="shared" si="498"/>
        <v>20200108</v>
      </c>
      <c r="B1482" s="1"/>
      <c r="C1482" s="1"/>
      <c r="D1482" s="1" t="str">
        <f t="shared" si="497"/>
        <v>偿还融资负债本金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-11346.5</v>
      </c>
      <c r="O1482" s="1">
        <v>83.85</v>
      </c>
      <c r="P1482" s="1">
        <v>0</v>
      </c>
    </row>
    <row r="1483" spans="1:16">
      <c r="A1483" s="1" t="str">
        <f t="shared" ref="A1483:A1486" si="499">"20200117"</f>
        <v>20200117</v>
      </c>
      <c r="B1483" s="1" t="str">
        <f>"000601"</f>
        <v>000601</v>
      </c>
      <c r="C1483" s="1" t="str">
        <f>"韶能股份"</f>
        <v>韶能股份</v>
      </c>
      <c r="D1483" s="1" t="str">
        <f>"担保品卖出"</f>
        <v>担保品卖出</v>
      </c>
      <c r="E1483" s="1">
        <v>6.37</v>
      </c>
      <c r="F1483" s="1">
        <v>1200</v>
      </c>
      <c r="G1483" s="1">
        <v>7644</v>
      </c>
      <c r="H1483" s="1">
        <v>5</v>
      </c>
      <c r="I1483" s="1">
        <v>4.33</v>
      </c>
      <c r="J1483" s="1">
        <v>7.64</v>
      </c>
      <c r="K1483" s="1">
        <v>0</v>
      </c>
      <c r="L1483" s="1">
        <v>0</v>
      </c>
      <c r="M1483" s="1">
        <v>0</v>
      </c>
      <c r="N1483" s="1">
        <v>7631.36</v>
      </c>
      <c r="O1483" s="1">
        <v>7715.21</v>
      </c>
      <c r="P1483" s="1">
        <v>30000</v>
      </c>
    </row>
    <row r="1484" spans="1:16">
      <c r="A1484" s="1" t="str">
        <f t="shared" si="499"/>
        <v>20200117</v>
      </c>
      <c r="B1484" s="1" t="str">
        <f>"600028"</f>
        <v>600028</v>
      </c>
      <c r="C1484" s="1" t="str">
        <f>"中国石化"</f>
        <v>中国石化</v>
      </c>
      <c r="D1484" s="1" t="str">
        <f>"担保品买入"</f>
        <v>担保品买入</v>
      </c>
      <c r="E1484" s="1">
        <v>5.07</v>
      </c>
      <c r="F1484" s="1">
        <v>1500</v>
      </c>
      <c r="G1484" s="1">
        <v>7605</v>
      </c>
      <c r="H1484" s="1">
        <v>5</v>
      </c>
      <c r="I1484" s="1">
        <v>4.48</v>
      </c>
      <c r="J1484" s="1">
        <v>0</v>
      </c>
      <c r="K1484" s="1">
        <v>0.15</v>
      </c>
      <c r="L1484" s="1">
        <v>0</v>
      </c>
      <c r="M1484" s="1">
        <v>0</v>
      </c>
      <c r="N1484" s="1">
        <v>-7610.15</v>
      </c>
      <c r="O1484" s="1">
        <v>105.06</v>
      </c>
      <c r="P1484" s="1">
        <v>1500</v>
      </c>
    </row>
    <row r="1485" spans="1:16">
      <c r="A1485" s="1" t="str">
        <f t="shared" si="499"/>
        <v>20200117</v>
      </c>
      <c r="B1485" s="1"/>
      <c r="C1485" s="1"/>
      <c r="D1485" s="1" t="str">
        <f t="shared" ref="D1485:D1488" si="500">"偿还融资利息"</f>
        <v>偿还融资利息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-4.5</v>
      </c>
      <c r="O1485" s="1">
        <v>100.56</v>
      </c>
      <c r="P1485" s="1">
        <v>0</v>
      </c>
    </row>
    <row r="1486" spans="1:16">
      <c r="A1486" s="1" t="str">
        <f t="shared" si="499"/>
        <v>20200117</v>
      </c>
      <c r="B1486" s="1"/>
      <c r="C1486" s="1"/>
      <c r="D1486" s="1" t="str">
        <f>"偿还融资负债本金"</f>
        <v>偿还融资负债本金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-55.5</v>
      </c>
      <c r="O1486" s="1">
        <v>45.06</v>
      </c>
      <c r="P1486" s="1">
        <v>0</v>
      </c>
    </row>
    <row r="1487" spans="1:16">
      <c r="A1487" s="1" t="str">
        <f>"20200120"</f>
        <v>20200120</v>
      </c>
      <c r="B1487" s="1"/>
      <c r="C1487" s="1"/>
      <c r="D1487" s="1" t="str">
        <f t="shared" si="500"/>
        <v>偿还融资利息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-1.96</v>
      </c>
      <c r="O1487" s="1">
        <v>43.1</v>
      </c>
      <c r="P1487" s="1">
        <v>0</v>
      </c>
    </row>
    <row r="1488" spans="1:16">
      <c r="A1488" s="1" t="str">
        <f>"20200120"</f>
        <v>20200120</v>
      </c>
      <c r="B1488" s="1"/>
      <c r="C1488" s="1"/>
      <c r="D1488" s="1" t="str">
        <f t="shared" si="500"/>
        <v>偿还融资利息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-43.1</v>
      </c>
      <c r="O1488" s="1">
        <v>0</v>
      </c>
      <c r="P1488" s="1">
        <v>0</v>
      </c>
    </row>
    <row r="1489" spans="1:16">
      <c r="A1489" s="1" t="str">
        <f>"20200123"</f>
        <v>20200123</v>
      </c>
      <c r="B1489" s="1" t="str">
        <f>"000543"</f>
        <v>000543</v>
      </c>
      <c r="C1489" s="1" t="str">
        <f>"皖能电力"</f>
        <v>皖能电力</v>
      </c>
      <c r="D1489" s="1" t="str">
        <f t="shared" ref="D1489:D1492" si="501">"融资买入"</f>
        <v>融资买入</v>
      </c>
      <c r="E1489" s="1">
        <v>4.36</v>
      </c>
      <c r="F1489" s="1">
        <v>3000</v>
      </c>
      <c r="G1489" s="1">
        <v>13080</v>
      </c>
      <c r="H1489" s="1">
        <v>6.54</v>
      </c>
      <c r="I1489" s="1">
        <v>5.38</v>
      </c>
      <c r="J1489" s="1">
        <v>0</v>
      </c>
      <c r="K1489" s="1">
        <v>0</v>
      </c>
      <c r="L1489" s="1">
        <v>0</v>
      </c>
      <c r="M1489" s="1">
        <v>0</v>
      </c>
      <c r="N1489" s="1">
        <v>-13086.54</v>
      </c>
      <c r="O1489" s="1">
        <v>-13086.54</v>
      </c>
      <c r="P1489" s="1">
        <v>16000</v>
      </c>
    </row>
    <row r="1490" spans="1:16">
      <c r="A1490" s="1" t="str">
        <f>"20200123"</f>
        <v>20200123</v>
      </c>
      <c r="B1490" s="1"/>
      <c r="C1490" s="1"/>
      <c r="D1490" s="1" t="str">
        <f t="shared" ref="D1490:D1494" si="502">"融资借入"</f>
        <v>融资借入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13086.54</v>
      </c>
      <c r="O1490" s="1">
        <v>0</v>
      </c>
      <c r="P1490" s="1">
        <v>0</v>
      </c>
    </row>
    <row r="1491" spans="1:16">
      <c r="A1491" s="1" t="str">
        <f t="shared" ref="A1491:A1494" si="503">"20200203"</f>
        <v>20200203</v>
      </c>
      <c r="B1491" s="1" t="str">
        <f>"000543"</f>
        <v>000543</v>
      </c>
      <c r="C1491" s="1" t="str">
        <f>"皖能电力"</f>
        <v>皖能电力</v>
      </c>
      <c r="D1491" s="1" t="str">
        <f t="shared" si="501"/>
        <v>融资买入</v>
      </c>
      <c r="E1491" s="1">
        <v>3.94</v>
      </c>
      <c r="F1491" s="1">
        <v>3000</v>
      </c>
      <c r="G1491" s="1">
        <v>11820</v>
      </c>
      <c r="H1491" s="1">
        <v>5.91</v>
      </c>
      <c r="I1491" s="1">
        <v>4.86</v>
      </c>
      <c r="J1491" s="1">
        <v>0</v>
      </c>
      <c r="K1491" s="1">
        <v>0</v>
      </c>
      <c r="L1491" s="1">
        <v>0</v>
      </c>
      <c r="M1491" s="1">
        <v>0</v>
      </c>
      <c r="N1491" s="1">
        <v>-11825.91</v>
      </c>
      <c r="O1491" s="1">
        <v>-11825.91</v>
      </c>
      <c r="P1491" s="1">
        <v>19000</v>
      </c>
    </row>
    <row r="1492" spans="1:16">
      <c r="A1492" s="1" t="str">
        <f t="shared" si="503"/>
        <v>20200203</v>
      </c>
      <c r="B1492" s="1" t="str">
        <f t="shared" ref="B1492:B1497" si="504">"000768"</f>
        <v>000768</v>
      </c>
      <c r="C1492" s="1" t="str">
        <f t="shared" ref="C1492:C1497" si="505">"中航飞机"</f>
        <v>中航飞机</v>
      </c>
      <c r="D1492" s="1" t="str">
        <f t="shared" si="501"/>
        <v>融资买入</v>
      </c>
      <c r="E1492" s="1">
        <v>14.98</v>
      </c>
      <c r="F1492" s="1">
        <v>1000</v>
      </c>
      <c r="G1492" s="1">
        <v>14980</v>
      </c>
      <c r="H1492" s="1">
        <v>7.49</v>
      </c>
      <c r="I1492" s="1">
        <v>6.16</v>
      </c>
      <c r="J1492" s="1">
        <v>0</v>
      </c>
      <c r="K1492" s="1">
        <v>0</v>
      </c>
      <c r="L1492" s="1">
        <v>0</v>
      </c>
      <c r="M1492" s="1">
        <v>0</v>
      </c>
      <c r="N1492" s="1">
        <v>-14987.49</v>
      </c>
      <c r="O1492" s="1">
        <v>-26813.4</v>
      </c>
      <c r="P1492" s="1">
        <v>1000</v>
      </c>
    </row>
    <row r="1493" spans="1:16">
      <c r="A1493" s="1" t="str">
        <f t="shared" si="503"/>
        <v>20200203</v>
      </c>
      <c r="B1493" s="1"/>
      <c r="C1493" s="1"/>
      <c r="D1493" s="1" t="str">
        <f t="shared" si="502"/>
        <v>融资借入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11825.91</v>
      </c>
      <c r="O1493" s="1">
        <v>-14987.49</v>
      </c>
      <c r="P1493" s="1">
        <v>0</v>
      </c>
    </row>
    <row r="1494" spans="1:16">
      <c r="A1494" s="1" t="str">
        <f t="shared" si="503"/>
        <v>20200203</v>
      </c>
      <c r="B1494" s="1"/>
      <c r="C1494" s="1"/>
      <c r="D1494" s="1" t="str">
        <f t="shared" si="502"/>
        <v>融资借入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14987.49</v>
      </c>
      <c r="O1494" s="1">
        <v>0</v>
      </c>
      <c r="P1494" s="1">
        <v>0</v>
      </c>
    </row>
    <row r="1495" spans="1:16">
      <c r="A1495" s="1" t="str">
        <f t="shared" ref="A1495:A1506" si="506">"20200205"</f>
        <v>20200205</v>
      </c>
      <c r="B1495" s="1" t="str">
        <f t="shared" si="504"/>
        <v>000768</v>
      </c>
      <c r="C1495" s="1" t="str">
        <f t="shared" si="505"/>
        <v>中航飞机</v>
      </c>
      <c r="D1495" s="1" t="str">
        <f t="shared" ref="D1495:D1499" si="507">"融资买入"</f>
        <v>融资买入</v>
      </c>
      <c r="E1495" s="1">
        <v>15.07</v>
      </c>
      <c r="F1495" s="1">
        <v>1000</v>
      </c>
      <c r="G1495" s="1">
        <v>15070</v>
      </c>
      <c r="H1495" s="1">
        <v>7.54</v>
      </c>
      <c r="I1495" s="1">
        <v>6.21</v>
      </c>
      <c r="J1495" s="1">
        <v>0</v>
      </c>
      <c r="K1495" s="1">
        <v>0</v>
      </c>
      <c r="L1495" s="1">
        <v>0</v>
      </c>
      <c r="M1495" s="1">
        <v>0</v>
      </c>
      <c r="N1495" s="1">
        <v>-15077.54</v>
      </c>
      <c r="O1495" s="1">
        <v>-15077.54</v>
      </c>
      <c r="P1495" s="1">
        <v>2000</v>
      </c>
    </row>
    <row r="1496" spans="1:16">
      <c r="A1496" s="1" t="str">
        <f t="shared" si="506"/>
        <v>20200205</v>
      </c>
      <c r="B1496" s="1" t="str">
        <f>"600028"</f>
        <v>600028</v>
      </c>
      <c r="C1496" s="1" t="str">
        <f>"中国石化"</f>
        <v>中国石化</v>
      </c>
      <c r="D1496" s="1" t="str">
        <f>"担保物转入"</f>
        <v>担保物转入</v>
      </c>
      <c r="E1496" s="1">
        <v>5.022</v>
      </c>
      <c r="F1496" s="1">
        <v>6200</v>
      </c>
      <c r="G1496" s="1">
        <v>31136.4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-15077.54</v>
      </c>
      <c r="P1496" s="1">
        <v>7700</v>
      </c>
    </row>
    <row r="1497" spans="1:16">
      <c r="A1497" s="1" t="str">
        <f t="shared" si="506"/>
        <v>20200205</v>
      </c>
      <c r="B1497" s="1" t="str">
        <f t="shared" si="504"/>
        <v>000768</v>
      </c>
      <c r="C1497" s="1" t="str">
        <f t="shared" si="505"/>
        <v>中航飞机</v>
      </c>
      <c r="D1497" s="1" t="str">
        <f>"卖券还款"</f>
        <v>卖券还款</v>
      </c>
      <c r="E1497" s="1">
        <v>15.28</v>
      </c>
      <c r="F1497" s="1">
        <v>1000</v>
      </c>
      <c r="G1497" s="1">
        <v>15280</v>
      </c>
      <c r="H1497" s="1">
        <v>7.64</v>
      </c>
      <c r="I1497" s="1">
        <v>6.28</v>
      </c>
      <c r="J1497" s="1">
        <v>15.28</v>
      </c>
      <c r="K1497" s="1">
        <v>0</v>
      </c>
      <c r="L1497" s="1">
        <v>0</v>
      </c>
      <c r="M1497" s="1">
        <v>0</v>
      </c>
      <c r="N1497" s="1">
        <v>15257.08</v>
      </c>
      <c r="O1497" s="1">
        <v>179.54</v>
      </c>
      <c r="P1497" s="1">
        <v>1000</v>
      </c>
    </row>
    <row r="1498" spans="1:16">
      <c r="A1498" s="1" t="str">
        <f t="shared" si="506"/>
        <v>20200205</v>
      </c>
      <c r="B1498" s="1" t="str">
        <f>"000543"</f>
        <v>000543</v>
      </c>
      <c r="C1498" s="1" t="str">
        <f>"皖能电力"</f>
        <v>皖能电力</v>
      </c>
      <c r="D1498" s="1" t="str">
        <f t="shared" si="507"/>
        <v>融资买入</v>
      </c>
      <c r="E1498" s="1">
        <v>4</v>
      </c>
      <c r="F1498" s="1">
        <v>3000</v>
      </c>
      <c r="G1498" s="1">
        <v>12000</v>
      </c>
      <c r="H1498" s="1">
        <v>6</v>
      </c>
      <c r="I1498" s="1">
        <v>4.94</v>
      </c>
      <c r="J1498" s="1">
        <v>0</v>
      </c>
      <c r="K1498" s="1">
        <v>0</v>
      </c>
      <c r="L1498" s="1">
        <v>0</v>
      </c>
      <c r="M1498" s="1">
        <v>0</v>
      </c>
      <c r="N1498" s="1">
        <v>-12006</v>
      </c>
      <c r="O1498" s="1">
        <v>-11826.46</v>
      </c>
      <c r="P1498" s="1">
        <v>22000</v>
      </c>
    </row>
    <row r="1499" spans="1:16">
      <c r="A1499" s="1" t="str">
        <f t="shared" si="506"/>
        <v>20200205</v>
      </c>
      <c r="B1499" s="1" t="str">
        <f>"000768"</f>
        <v>000768</v>
      </c>
      <c r="C1499" s="1" t="str">
        <f>"中航飞机"</f>
        <v>中航飞机</v>
      </c>
      <c r="D1499" s="1" t="str">
        <f t="shared" si="507"/>
        <v>融资买入</v>
      </c>
      <c r="E1499" s="1">
        <v>15.12</v>
      </c>
      <c r="F1499" s="1">
        <v>1000</v>
      </c>
      <c r="G1499" s="1">
        <v>15120</v>
      </c>
      <c r="H1499" s="1">
        <v>7.56</v>
      </c>
      <c r="I1499" s="1">
        <v>6.22</v>
      </c>
      <c r="J1499" s="1">
        <v>0</v>
      </c>
      <c r="K1499" s="1">
        <v>0</v>
      </c>
      <c r="L1499" s="1">
        <v>0</v>
      </c>
      <c r="M1499" s="1">
        <v>0</v>
      </c>
      <c r="N1499" s="1">
        <v>-15127.56</v>
      </c>
      <c r="O1499" s="1">
        <v>-26954.02</v>
      </c>
      <c r="P1499" s="1">
        <v>2000</v>
      </c>
    </row>
    <row r="1500" spans="1:16">
      <c r="A1500" s="1" t="str">
        <f t="shared" si="506"/>
        <v>20200205</v>
      </c>
      <c r="B1500" s="1"/>
      <c r="C1500" s="1"/>
      <c r="D1500" s="1" t="str">
        <f t="shared" ref="D1500:D1502" si="508">"融资借入"</f>
        <v>融资借入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15077.54</v>
      </c>
      <c r="O1500" s="1">
        <v>-11876.48</v>
      </c>
      <c r="P1500" s="1">
        <v>0</v>
      </c>
    </row>
    <row r="1501" spans="1:16">
      <c r="A1501" s="1" t="str">
        <f t="shared" si="506"/>
        <v>20200205</v>
      </c>
      <c r="B1501" s="1"/>
      <c r="C1501" s="1"/>
      <c r="D1501" s="1" t="str">
        <f t="shared" si="508"/>
        <v>融资借入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12006</v>
      </c>
      <c r="O1501" s="1">
        <v>129.52</v>
      </c>
      <c r="P1501" s="1">
        <v>0</v>
      </c>
    </row>
    <row r="1502" spans="1:16">
      <c r="A1502" s="1" t="str">
        <f t="shared" si="506"/>
        <v>20200205</v>
      </c>
      <c r="B1502" s="1"/>
      <c r="C1502" s="1"/>
      <c r="D1502" s="1" t="str">
        <f t="shared" si="508"/>
        <v>融资借入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15127.56</v>
      </c>
      <c r="O1502" s="1">
        <v>15257.08</v>
      </c>
      <c r="P1502" s="1">
        <v>0</v>
      </c>
    </row>
    <row r="1503" spans="1:16">
      <c r="A1503" s="1" t="str">
        <f t="shared" si="506"/>
        <v>20200205</v>
      </c>
      <c r="B1503" s="1"/>
      <c r="C1503" s="1"/>
      <c r="D1503" s="1" t="str">
        <f t="shared" ref="D1503:D1508" si="509">"偿还融资利息"</f>
        <v>偿还融资利息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-7.33</v>
      </c>
      <c r="O1503" s="1">
        <v>15249.75</v>
      </c>
      <c r="P1503" s="1">
        <v>0</v>
      </c>
    </row>
    <row r="1504" spans="1:16">
      <c r="A1504" s="1" t="str">
        <f t="shared" si="506"/>
        <v>20200205</v>
      </c>
      <c r="B1504" s="1"/>
      <c r="C1504" s="1"/>
      <c r="D1504" s="1" t="str">
        <f t="shared" ref="D1504:D1509" si="510">"偿还融资负债本金"</f>
        <v>偿还融资负债本金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-2104.75</v>
      </c>
      <c r="O1504" s="1">
        <v>13145</v>
      </c>
      <c r="P1504" s="1">
        <v>0</v>
      </c>
    </row>
    <row r="1505" spans="1:16">
      <c r="A1505" s="1" t="str">
        <f t="shared" si="506"/>
        <v>20200205</v>
      </c>
      <c r="B1505" s="1"/>
      <c r="C1505" s="1"/>
      <c r="D1505" s="1" t="str">
        <f t="shared" si="509"/>
        <v>偿还融资利息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-127.56</v>
      </c>
      <c r="O1505" s="1">
        <v>13017.44</v>
      </c>
      <c r="P1505" s="1">
        <v>0</v>
      </c>
    </row>
    <row r="1506" spans="1:16">
      <c r="A1506" s="1" t="str">
        <f t="shared" si="506"/>
        <v>20200205</v>
      </c>
      <c r="B1506" s="1"/>
      <c r="C1506" s="1"/>
      <c r="D1506" s="1" t="str">
        <f t="shared" si="510"/>
        <v>偿还融资负债本金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-12979.14</v>
      </c>
      <c r="O1506" s="1">
        <v>38.3</v>
      </c>
      <c r="P1506" s="1">
        <v>0</v>
      </c>
    </row>
    <row r="1507" spans="1:16">
      <c r="A1507" s="1" t="str">
        <f t="shared" ref="A1507:A1511" si="511">"20200206"</f>
        <v>20200206</v>
      </c>
      <c r="B1507" s="1" t="str">
        <f>"000768"</f>
        <v>000768</v>
      </c>
      <c r="C1507" s="1" t="str">
        <f>"中航飞机"</f>
        <v>中航飞机</v>
      </c>
      <c r="D1507" s="1" t="str">
        <f>"卖券还款"</f>
        <v>卖券还款</v>
      </c>
      <c r="E1507" s="1">
        <v>15.46</v>
      </c>
      <c r="F1507" s="1">
        <v>1000</v>
      </c>
      <c r="G1507" s="1">
        <v>15460</v>
      </c>
      <c r="H1507" s="1">
        <v>7.73</v>
      </c>
      <c r="I1507" s="1">
        <v>6.35</v>
      </c>
      <c r="J1507" s="1">
        <v>15.46</v>
      </c>
      <c r="K1507" s="1">
        <v>0</v>
      </c>
      <c r="L1507" s="1">
        <v>0</v>
      </c>
      <c r="M1507" s="1">
        <v>0</v>
      </c>
      <c r="N1507" s="1">
        <v>15436.81</v>
      </c>
      <c r="O1507" s="1">
        <v>15475.11</v>
      </c>
      <c r="P1507" s="1">
        <v>1000</v>
      </c>
    </row>
    <row r="1508" spans="1:16">
      <c r="A1508" s="1" t="str">
        <f t="shared" si="511"/>
        <v>20200206</v>
      </c>
      <c r="B1508" s="1"/>
      <c r="C1508" s="1"/>
      <c r="D1508" s="1" t="str">
        <f t="shared" si="509"/>
        <v>偿还融资利息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-0.7</v>
      </c>
      <c r="O1508" s="1">
        <v>15474.41</v>
      </c>
      <c r="P1508" s="1">
        <v>0</v>
      </c>
    </row>
    <row r="1509" spans="1:16">
      <c r="A1509" s="1" t="str">
        <f t="shared" si="511"/>
        <v>20200206</v>
      </c>
      <c r="B1509" s="1"/>
      <c r="C1509" s="1"/>
      <c r="D1509" s="1" t="str">
        <f t="shared" si="510"/>
        <v>偿还融资负债本金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-3018.86</v>
      </c>
      <c r="O1509" s="1">
        <v>12455.55</v>
      </c>
      <c r="P1509" s="1">
        <v>0</v>
      </c>
    </row>
    <row r="1510" spans="1:16">
      <c r="A1510" s="1" t="str">
        <f t="shared" si="511"/>
        <v>20200206</v>
      </c>
      <c r="B1510" s="1"/>
      <c r="C1510" s="1"/>
      <c r="D1510" s="1" t="str">
        <f>"偿还融资利息"</f>
        <v>偿还融资利息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-133.22</v>
      </c>
      <c r="O1510" s="1">
        <v>12322.33</v>
      </c>
      <c r="P1510" s="1">
        <v>0</v>
      </c>
    </row>
    <row r="1511" spans="1:16">
      <c r="A1511" s="1" t="str">
        <f t="shared" si="511"/>
        <v>20200206</v>
      </c>
      <c r="B1511" s="1"/>
      <c r="C1511" s="1"/>
      <c r="D1511" s="1" t="str">
        <f>"偿还融资负债本金"</f>
        <v>偿还融资负债本金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-12245.38</v>
      </c>
      <c r="O1511" s="1">
        <v>76.95</v>
      </c>
      <c r="P1511" s="1">
        <v>0</v>
      </c>
    </row>
    <row r="1512" spans="1:16">
      <c r="A1512" s="1" t="str">
        <f>"20200207"</f>
        <v>20200207</v>
      </c>
      <c r="B1512" s="1" t="str">
        <f>"000768"</f>
        <v>000768</v>
      </c>
      <c r="C1512" s="1" t="str">
        <f>"中航飞机"</f>
        <v>中航飞机</v>
      </c>
      <c r="D1512" s="1" t="str">
        <f>"融资买入"</f>
        <v>融资买入</v>
      </c>
      <c r="E1512" s="1">
        <v>15.7</v>
      </c>
      <c r="F1512" s="1">
        <v>500</v>
      </c>
      <c r="G1512" s="1">
        <v>7850</v>
      </c>
      <c r="H1512" s="1">
        <v>5</v>
      </c>
      <c r="I1512" s="1">
        <v>4.3</v>
      </c>
      <c r="J1512" s="1">
        <v>0</v>
      </c>
      <c r="K1512" s="1">
        <v>0</v>
      </c>
      <c r="L1512" s="1">
        <v>0</v>
      </c>
      <c r="M1512" s="1">
        <v>0</v>
      </c>
      <c r="N1512" s="1">
        <v>-7855</v>
      </c>
      <c r="O1512" s="1">
        <v>-7778.05</v>
      </c>
      <c r="P1512" s="1">
        <v>1500</v>
      </c>
    </row>
    <row r="1513" spans="1:16">
      <c r="A1513" s="1" t="str">
        <f>"20200207"</f>
        <v>20200207</v>
      </c>
      <c r="B1513" s="1"/>
      <c r="C1513" s="1"/>
      <c r="D1513" s="1" t="str">
        <f>"融资借入"</f>
        <v>融资借入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7855</v>
      </c>
      <c r="O1513" s="1">
        <v>76.95</v>
      </c>
      <c r="P1513" s="1">
        <v>0</v>
      </c>
    </row>
    <row r="1514" spans="1:16">
      <c r="A1514" s="1" t="str">
        <f t="shared" ref="A1514:A1522" si="512">"20200210"</f>
        <v>20200210</v>
      </c>
      <c r="B1514" s="1" t="str">
        <f>"000768"</f>
        <v>000768</v>
      </c>
      <c r="C1514" s="1" t="str">
        <f>"中航飞机"</f>
        <v>中航飞机</v>
      </c>
      <c r="D1514" s="1" t="str">
        <f>"卖券还款"</f>
        <v>卖券还款</v>
      </c>
      <c r="E1514" s="1">
        <v>15.66</v>
      </c>
      <c r="F1514" s="1">
        <v>1500</v>
      </c>
      <c r="G1514" s="1">
        <v>23490</v>
      </c>
      <c r="H1514" s="1">
        <v>11.75</v>
      </c>
      <c r="I1514" s="1">
        <v>9.66</v>
      </c>
      <c r="J1514" s="1">
        <v>23.49</v>
      </c>
      <c r="K1514" s="1">
        <v>0</v>
      </c>
      <c r="L1514" s="1">
        <v>0</v>
      </c>
      <c r="M1514" s="1">
        <v>0</v>
      </c>
      <c r="N1514" s="1">
        <v>23454.76</v>
      </c>
      <c r="O1514" s="1">
        <v>23531.71</v>
      </c>
      <c r="P1514" s="1">
        <v>0</v>
      </c>
    </row>
    <row r="1515" spans="1:16">
      <c r="A1515" s="1" t="str">
        <f t="shared" si="512"/>
        <v>20200210</v>
      </c>
      <c r="B1515" s="1" t="str">
        <f>"002183"</f>
        <v>002183</v>
      </c>
      <c r="C1515" s="1" t="str">
        <f>"怡 亚 通"</f>
        <v>怡 亚 通</v>
      </c>
      <c r="D1515" s="1" t="str">
        <f>"担保物转入"</f>
        <v>担保物转入</v>
      </c>
      <c r="E1515" s="1">
        <v>14.133</v>
      </c>
      <c r="F1515" s="1">
        <v>5000</v>
      </c>
      <c r="G1515" s="1">
        <v>70665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23531.71</v>
      </c>
      <c r="P1515" s="1">
        <v>12500</v>
      </c>
    </row>
    <row r="1516" spans="1:16">
      <c r="A1516" s="1" t="str">
        <f t="shared" si="512"/>
        <v>20200210</v>
      </c>
      <c r="B1516" s="1"/>
      <c r="C1516" s="1"/>
      <c r="D1516" s="1" t="str">
        <f t="shared" ref="D1516:D1520" si="513">"偿还融资负债本金"</f>
        <v>偿还融资负债本金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-70</v>
      </c>
      <c r="O1516" s="1">
        <v>23461.71</v>
      </c>
      <c r="P1516" s="1">
        <v>0</v>
      </c>
    </row>
    <row r="1517" spans="1:16">
      <c r="A1517" s="1" t="str">
        <f t="shared" si="512"/>
        <v>20200210</v>
      </c>
      <c r="B1517" s="1"/>
      <c r="C1517" s="1"/>
      <c r="D1517" s="1" t="str">
        <f t="shared" ref="D1517:D1521" si="514">"偿还融资利息"</f>
        <v>偿还融资利息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-1.33</v>
      </c>
      <c r="O1517" s="1">
        <v>23460.38</v>
      </c>
      <c r="P1517" s="1">
        <v>0</v>
      </c>
    </row>
    <row r="1518" spans="1:16">
      <c r="A1518" s="1" t="str">
        <f t="shared" si="512"/>
        <v>20200210</v>
      </c>
      <c r="B1518" s="1"/>
      <c r="C1518" s="1"/>
      <c r="D1518" s="1" t="str">
        <f t="shared" si="513"/>
        <v>偿还融资负债本金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-1441.46</v>
      </c>
      <c r="O1518" s="1">
        <v>22018.92</v>
      </c>
      <c r="P1518" s="1">
        <v>0</v>
      </c>
    </row>
    <row r="1519" spans="1:16">
      <c r="A1519" s="1" t="str">
        <f t="shared" si="512"/>
        <v>20200210</v>
      </c>
      <c r="B1519" s="1"/>
      <c r="C1519" s="1"/>
      <c r="D1519" s="1" t="str">
        <f t="shared" si="514"/>
        <v>偿还融资利息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-54.67</v>
      </c>
      <c r="O1519" s="1">
        <v>21964.25</v>
      </c>
      <c r="P1519" s="1">
        <v>0</v>
      </c>
    </row>
    <row r="1520" spans="1:16">
      <c r="A1520" s="1" t="str">
        <f t="shared" si="512"/>
        <v>20200210</v>
      </c>
      <c r="B1520" s="1"/>
      <c r="C1520" s="1"/>
      <c r="D1520" s="1" t="str">
        <f t="shared" si="513"/>
        <v>偿还融资负债本金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-13086.54</v>
      </c>
      <c r="O1520" s="1">
        <v>8877.71</v>
      </c>
      <c r="P1520" s="1">
        <v>0</v>
      </c>
    </row>
    <row r="1521" spans="1:16">
      <c r="A1521" s="1" t="str">
        <f t="shared" si="512"/>
        <v>20200210</v>
      </c>
      <c r="B1521" s="1"/>
      <c r="C1521" s="1"/>
      <c r="D1521" s="1" t="str">
        <f t="shared" si="514"/>
        <v>偿还融资利息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-19.19</v>
      </c>
      <c r="O1521" s="1">
        <v>8858.52</v>
      </c>
      <c r="P1521" s="1">
        <v>0</v>
      </c>
    </row>
    <row r="1522" spans="1:16">
      <c r="A1522" s="1" t="str">
        <f t="shared" si="512"/>
        <v>20200210</v>
      </c>
      <c r="B1522" s="1"/>
      <c r="C1522" s="1"/>
      <c r="D1522" s="1" t="str">
        <f>"偿还融资负债本金"</f>
        <v>偿还融资负债本金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-8792.85</v>
      </c>
      <c r="O1522" s="1">
        <v>65.67</v>
      </c>
      <c r="P1522" s="1">
        <v>0</v>
      </c>
    </row>
    <row r="1523" spans="1:16">
      <c r="A1523" s="1" t="str">
        <f t="shared" ref="A1523:A1530" si="515">"20200212"</f>
        <v>20200212</v>
      </c>
      <c r="B1523" s="1" t="str">
        <f>"002183"</f>
        <v>002183</v>
      </c>
      <c r="C1523" s="1" t="str">
        <f>"怡 亚 通"</f>
        <v>怡 亚 通</v>
      </c>
      <c r="D1523" s="1" t="str">
        <f>"融资买入"</f>
        <v>融资买入</v>
      </c>
      <c r="E1523" s="1">
        <v>3.82</v>
      </c>
      <c r="F1523" s="1">
        <v>5000</v>
      </c>
      <c r="G1523" s="1">
        <v>19100</v>
      </c>
      <c r="H1523" s="1">
        <v>9.55</v>
      </c>
      <c r="I1523" s="1">
        <v>7.86</v>
      </c>
      <c r="J1523" s="1">
        <v>0</v>
      </c>
      <c r="K1523" s="1">
        <v>0</v>
      </c>
      <c r="L1523" s="1">
        <v>0</v>
      </c>
      <c r="M1523" s="1">
        <v>0</v>
      </c>
      <c r="N1523" s="1">
        <v>-19109.55</v>
      </c>
      <c r="O1523" s="1">
        <v>-19043.88</v>
      </c>
      <c r="P1523" s="1">
        <v>17500</v>
      </c>
    </row>
    <row r="1524" spans="1:16">
      <c r="A1524" s="1" t="str">
        <f t="shared" si="515"/>
        <v>20200212</v>
      </c>
      <c r="B1524" s="1" t="str">
        <f>"000543"</f>
        <v>000543</v>
      </c>
      <c r="C1524" s="1" t="str">
        <f>"皖能电力"</f>
        <v>皖能电力</v>
      </c>
      <c r="D1524" s="1" t="str">
        <f>"卖券还款"</f>
        <v>卖券还款</v>
      </c>
      <c r="E1524" s="1">
        <v>4.15</v>
      </c>
      <c r="F1524" s="1">
        <v>3000</v>
      </c>
      <c r="G1524" s="1">
        <v>12450</v>
      </c>
      <c r="H1524" s="1">
        <v>6.23</v>
      </c>
      <c r="I1524" s="1">
        <v>5.12</v>
      </c>
      <c r="J1524" s="1">
        <v>12.45</v>
      </c>
      <c r="K1524" s="1">
        <v>0</v>
      </c>
      <c r="L1524" s="1">
        <v>0</v>
      </c>
      <c r="M1524" s="1">
        <v>0</v>
      </c>
      <c r="N1524" s="1">
        <v>12431.32</v>
      </c>
      <c r="O1524" s="1">
        <v>-6612.56</v>
      </c>
      <c r="P1524" s="1">
        <v>19000</v>
      </c>
    </row>
    <row r="1525" spans="1:16">
      <c r="A1525" s="1" t="str">
        <f t="shared" si="515"/>
        <v>20200212</v>
      </c>
      <c r="B1525" s="1"/>
      <c r="C1525" s="1"/>
      <c r="D1525" s="1" t="str">
        <f>"融资借入"</f>
        <v>融资借入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19109.55</v>
      </c>
      <c r="O1525" s="1">
        <v>12496.99</v>
      </c>
      <c r="P1525" s="1">
        <v>0</v>
      </c>
    </row>
    <row r="1526" spans="1:16">
      <c r="A1526" s="1" t="str">
        <f t="shared" si="515"/>
        <v>20200212</v>
      </c>
      <c r="B1526" s="1"/>
      <c r="C1526" s="1"/>
      <c r="D1526" s="1" t="str">
        <f>"偿还融资利息"</f>
        <v>偿还融资利息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-1.38</v>
      </c>
      <c r="O1526" s="1">
        <v>12495.61</v>
      </c>
      <c r="P1526" s="1">
        <v>0</v>
      </c>
    </row>
    <row r="1527" spans="1:16">
      <c r="A1527" s="1" t="str">
        <f t="shared" si="515"/>
        <v>20200212</v>
      </c>
      <c r="B1527" s="1"/>
      <c r="C1527" s="1"/>
      <c r="D1527" s="1" t="str">
        <f t="shared" ref="D1527:D1530" si="516">"偿还融资负债本金"</f>
        <v>偿还融资负债本金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-63.62</v>
      </c>
      <c r="O1527" s="1">
        <v>12431.99</v>
      </c>
      <c r="P1527" s="1">
        <v>0</v>
      </c>
    </row>
    <row r="1528" spans="1:16">
      <c r="A1528" s="1" t="str">
        <f t="shared" si="515"/>
        <v>20200212</v>
      </c>
      <c r="B1528" s="1"/>
      <c r="C1528" s="1"/>
      <c r="D1528" s="1" t="str">
        <f t="shared" si="516"/>
        <v>偿还融资负债本金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-2899.44</v>
      </c>
      <c r="O1528" s="1">
        <v>9532.55</v>
      </c>
      <c r="P1528" s="1">
        <v>0</v>
      </c>
    </row>
    <row r="1529" spans="1:16">
      <c r="A1529" s="1" t="str">
        <f t="shared" si="515"/>
        <v>20200212</v>
      </c>
      <c r="B1529" s="1"/>
      <c r="C1529" s="1"/>
      <c r="D1529" s="1" t="str">
        <f>"偿还融资利息"</f>
        <v>偿还融资利息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-31.31</v>
      </c>
      <c r="O1529" s="1">
        <v>9501.24</v>
      </c>
      <c r="P1529" s="1">
        <v>0</v>
      </c>
    </row>
    <row r="1530" spans="1:16">
      <c r="A1530" s="1" t="str">
        <f t="shared" si="515"/>
        <v>20200212</v>
      </c>
      <c r="B1530" s="1"/>
      <c r="C1530" s="1"/>
      <c r="D1530" s="1" t="str">
        <f t="shared" si="516"/>
        <v>偿还融资负债本金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-9469.45</v>
      </c>
      <c r="O1530" s="1">
        <v>31.79</v>
      </c>
      <c r="P1530" s="1">
        <v>0</v>
      </c>
    </row>
    <row r="1531" spans="1:16">
      <c r="A1531" s="1" t="str">
        <f>"20200213"</f>
        <v>20200213</v>
      </c>
      <c r="B1531" s="1" t="str">
        <f>"000543"</f>
        <v>000543</v>
      </c>
      <c r="C1531" s="1" t="str">
        <f>"皖能电力"</f>
        <v>皖能电力</v>
      </c>
      <c r="D1531" s="1" t="str">
        <f>"股息红利差异扣税"</f>
        <v>股息红利差异扣税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-6.6</v>
      </c>
      <c r="O1531" s="1">
        <v>25.19</v>
      </c>
      <c r="P1531" s="1">
        <v>0</v>
      </c>
    </row>
    <row r="1532" spans="1:16">
      <c r="A1532" s="1" t="str">
        <f t="shared" ref="A1532:A1538" si="517">"20200214"</f>
        <v>20200214</v>
      </c>
      <c r="B1532" s="1" t="str">
        <f>"002183"</f>
        <v>002183</v>
      </c>
      <c r="C1532" s="1" t="str">
        <f>"怡 亚 通"</f>
        <v>怡 亚 通</v>
      </c>
      <c r="D1532" s="1" t="str">
        <f>"卖券还款"</f>
        <v>卖券还款</v>
      </c>
      <c r="E1532" s="1">
        <v>3.75</v>
      </c>
      <c r="F1532" s="1">
        <v>2100</v>
      </c>
      <c r="G1532" s="1">
        <v>7875</v>
      </c>
      <c r="H1532" s="1">
        <v>5</v>
      </c>
      <c r="I1532" s="1">
        <v>4.3</v>
      </c>
      <c r="J1532" s="1">
        <v>7.88</v>
      </c>
      <c r="K1532" s="1">
        <v>0</v>
      </c>
      <c r="L1532" s="1">
        <v>0</v>
      </c>
      <c r="M1532" s="1">
        <v>0</v>
      </c>
      <c r="N1532" s="1">
        <v>7862.12</v>
      </c>
      <c r="O1532" s="1">
        <v>7887.31</v>
      </c>
      <c r="P1532" s="1">
        <v>15400</v>
      </c>
    </row>
    <row r="1533" spans="1:16">
      <c r="A1533" s="1" t="str">
        <f t="shared" si="517"/>
        <v>20200214</v>
      </c>
      <c r="B1533" s="1" t="str">
        <f>"002183"</f>
        <v>002183</v>
      </c>
      <c r="C1533" s="1" t="str">
        <f>"怡 亚 通"</f>
        <v>怡 亚 通</v>
      </c>
      <c r="D1533" s="1" t="str">
        <f>"卖券还款"</f>
        <v>卖券还款</v>
      </c>
      <c r="E1533" s="1">
        <v>3.79</v>
      </c>
      <c r="F1533" s="1">
        <v>2900</v>
      </c>
      <c r="G1533" s="1">
        <v>10991</v>
      </c>
      <c r="H1533" s="1">
        <v>5.5</v>
      </c>
      <c r="I1533" s="1">
        <v>4.52</v>
      </c>
      <c r="J1533" s="1">
        <v>10.99</v>
      </c>
      <c r="K1533" s="1">
        <v>0</v>
      </c>
      <c r="L1533" s="1">
        <v>0</v>
      </c>
      <c r="M1533" s="1">
        <v>0</v>
      </c>
      <c r="N1533" s="1">
        <v>10974.51</v>
      </c>
      <c r="O1533" s="1">
        <v>18861.82</v>
      </c>
      <c r="P1533" s="1">
        <v>12500</v>
      </c>
    </row>
    <row r="1534" spans="1:16">
      <c r="A1534" s="1" t="str">
        <f t="shared" si="517"/>
        <v>20200214</v>
      </c>
      <c r="B1534" s="1"/>
      <c r="C1534" s="1"/>
      <c r="D1534" s="1" t="str">
        <f t="shared" ref="D1534:D1539" si="518">"偿还融资利息"</f>
        <v>偿还融资利息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-2.56</v>
      </c>
      <c r="O1534" s="1">
        <v>18859.26</v>
      </c>
      <c r="P1534" s="1">
        <v>0</v>
      </c>
    </row>
    <row r="1535" spans="1:16">
      <c r="A1535" s="1" t="str">
        <f t="shared" si="517"/>
        <v>20200214</v>
      </c>
      <c r="B1535" s="1"/>
      <c r="C1535" s="1"/>
      <c r="D1535" s="1" t="str">
        <f t="shared" ref="D1535:D1538" si="519">"偿还融资负债本金"</f>
        <v>偿还融资负债本金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-5518.04</v>
      </c>
      <c r="O1535" s="1">
        <v>13341.22</v>
      </c>
      <c r="P1535" s="1">
        <v>0</v>
      </c>
    </row>
    <row r="1536" spans="1:16">
      <c r="A1536" s="1" t="str">
        <f t="shared" si="517"/>
        <v>20200214</v>
      </c>
      <c r="B1536" s="1"/>
      <c r="C1536" s="1"/>
      <c r="D1536" s="1" t="str">
        <f t="shared" si="518"/>
        <v>偿还融资利息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-31.49</v>
      </c>
      <c r="O1536" s="1">
        <v>13309.73</v>
      </c>
      <c r="P1536" s="1">
        <v>0</v>
      </c>
    </row>
    <row r="1537" spans="1:16">
      <c r="A1537" s="1" t="str">
        <f t="shared" si="517"/>
        <v>20200214</v>
      </c>
      <c r="B1537" s="1"/>
      <c r="C1537" s="1"/>
      <c r="D1537" s="1" t="str">
        <f t="shared" si="519"/>
        <v>偿还融资负债本金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-2291.4</v>
      </c>
      <c r="O1537" s="1">
        <v>11018.33</v>
      </c>
      <c r="P1537" s="1">
        <v>0</v>
      </c>
    </row>
    <row r="1538" spans="1:16">
      <c r="A1538" s="1" t="str">
        <f t="shared" si="517"/>
        <v>20200214</v>
      </c>
      <c r="B1538" s="1"/>
      <c r="C1538" s="1"/>
      <c r="D1538" s="1" t="str">
        <f t="shared" si="519"/>
        <v>偿还融资负债本金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-10947.04</v>
      </c>
      <c r="O1538" s="1">
        <v>71.29</v>
      </c>
      <c r="P1538" s="1">
        <v>0</v>
      </c>
    </row>
    <row r="1539" spans="1:16">
      <c r="A1539" s="1" t="str">
        <f>"20200217"</f>
        <v>20200217</v>
      </c>
      <c r="B1539" s="1"/>
      <c r="C1539" s="1"/>
      <c r="D1539" s="1" t="str">
        <f t="shared" si="518"/>
        <v>偿还融资利息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-1.28</v>
      </c>
      <c r="O1539" s="1">
        <v>70.01</v>
      </c>
      <c r="P1539" s="1">
        <v>0</v>
      </c>
    </row>
    <row r="1540" spans="1:16">
      <c r="A1540" s="1" t="str">
        <f>"20200217"</f>
        <v>20200217</v>
      </c>
      <c r="B1540" s="1"/>
      <c r="C1540" s="1"/>
      <c r="D1540" s="1" t="str">
        <f>"偿还融资负债本金"</f>
        <v>偿还融资负债本金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-69.72</v>
      </c>
      <c r="O1540" s="1">
        <v>0.29</v>
      </c>
      <c r="P1540" s="1">
        <v>0</v>
      </c>
    </row>
    <row r="1541" spans="1:16">
      <c r="A1541" s="1" t="str">
        <f>"20200220"</f>
        <v>20200220</v>
      </c>
      <c r="B1541" s="1"/>
      <c r="C1541" s="1"/>
      <c r="D1541" s="1" t="str">
        <f>"偿还融资利息"</f>
        <v>偿还融资利息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-0.29</v>
      </c>
      <c r="O1541" s="1">
        <v>0</v>
      </c>
      <c r="P1541" s="1">
        <v>0</v>
      </c>
    </row>
    <row r="1542" spans="1:16">
      <c r="A1542" s="1" t="str">
        <f t="shared" ref="A1542:A1548" si="520">"20200226"</f>
        <v>20200226</v>
      </c>
      <c r="B1542" s="1" t="str">
        <f>"000543"</f>
        <v>000543</v>
      </c>
      <c r="C1542" s="1" t="str">
        <f>"皖能电力"</f>
        <v>皖能电力</v>
      </c>
      <c r="D1542" s="1" t="str">
        <f>"融资买入"</f>
        <v>融资买入</v>
      </c>
      <c r="E1542" s="1">
        <v>4.07</v>
      </c>
      <c r="F1542" s="1">
        <v>3000</v>
      </c>
      <c r="G1542" s="1">
        <v>12210</v>
      </c>
      <c r="H1542" s="1">
        <v>6.11</v>
      </c>
      <c r="I1542" s="1">
        <v>5.02</v>
      </c>
      <c r="J1542" s="1">
        <v>0</v>
      </c>
      <c r="K1542" s="1">
        <v>0</v>
      </c>
      <c r="L1542" s="1">
        <v>0</v>
      </c>
      <c r="M1542" s="1">
        <v>0</v>
      </c>
      <c r="N1542" s="1">
        <v>-12216.11</v>
      </c>
      <c r="O1542" s="1">
        <v>-12216.11</v>
      </c>
      <c r="P1542" s="1">
        <v>22000</v>
      </c>
    </row>
    <row r="1543" spans="1:16">
      <c r="A1543" s="1" t="str">
        <f t="shared" si="520"/>
        <v>20200226</v>
      </c>
      <c r="B1543" s="1" t="str">
        <f>"000543"</f>
        <v>000543</v>
      </c>
      <c r="C1543" s="1" t="str">
        <f>"皖能电力"</f>
        <v>皖能电力</v>
      </c>
      <c r="D1543" s="1" t="str">
        <f>"卖券还款"</f>
        <v>卖券还款</v>
      </c>
      <c r="E1543" s="1">
        <v>4.12</v>
      </c>
      <c r="F1543" s="1">
        <v>3000</v>
      </c>
      <c r="G1543" s="1">
        <v>12360</v>
      </c>
      <c r="H1543" s="1">
        <v>6.18</v>
      </c>
      <c r="I1543" s="1">
        <v>5.08</v>
      </c>
      <c r="J1543" s="1">
        <v>12.36</v>
      </c>
      <c r="K1543" s="1">
        <v>0</v>
      </c>
      <c r="L1543" s="1">
        <v>0</v>
      </c>
      <c r="M1543" s="1">
        <v>0</v>
      </c>
      <c r="N1543" s="1">
        <v>12341.46</v>
      </c>
      <c r="O1543" s="1">
        <v>125.35</v>
      </c>
      <c r="P1543" s="1">
        <v>19000</v>
      </c>
    </row>
    <row r="1544" spans="1:16">
      <c r="A1544" s="1" t="str">
        <f t="shared" si="520"/>
        <v>20200226</v>
      </c>
      <c r="B1544" s="1"/>
      <c r="C1544" s="1"/>
      <c r="D1544" s="1" t="str">
        <f>"融资借入"</f>
        <v>融资借入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12216.11</v>
      </c>
      <c r="O1544" s="1">
        <v>12341.46</v>
      </c>
      <c r="P1544" s="1">
        <v>0</v>
      </c>
    </row>
    <row r="1545" spans="1:16">
      <c r="A1545" s="1" t="str">
        <f t="shared" si="520"/>
        <v>20200226</v>
      </c>
      <c r="B1545" s="1"/>
      <c r="C1545" s="1"/>
      <c r="D1545" s="1" t="str">
        <f>"偿还融资利息"</f>
        <v>偿还融资利息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-3.4</v>
      </c>
      <c r="O1545" s="1">
        <v>12338.06</v>
      </c>
      <c r="P1545" s="1">
        <v>0</v>
      </c>
    </row>
    <row r="1546" spans="1:16">
      <c r="A1546" s="1" t="str">
        <f t="shared" si="520"/>
        <v>20200226</v>
      </c>
      <c r="B1546" s="1"/>
      <c r="C1546" s="1"/>
      <c r="D1546" s="1" t="str">
        <f>"偿还融资负债本金"</f>
        <v>偿还融资负债本金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-1769.38</v>
      </c>
      <c r="O1546" s="1">
        <v>10568.68</v>
      </c>
      <c r="P1546" s="1">
        <v>0</v>
      </c>
    </row>
    <row r="1547" spans="1:16">
      <c r="A1547" s="1" t="str">
        <f t="shared" si="520"/>
        <v>20200226</v>
      </c>
      <c r="B1547" s="1"/>
      <c r="C1547" s="1"/>
      <c r="D1547" s="1" t="str">
        <f>"偿还融资利息"</f>
        <v>偿还融资利息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-58.41</v>
      </c>
      <c r="O1547" s="1">
        <v>10510.27</v>
      </c>
      <c r="P1547" s="1">
        <v>0</v>
      </c>
    </row>
    <row r="1548" spans="1:16">
      <c r="A1548" s="1" t="str">
        <f t="shared" si="520"/>
        <v>20200226</v>
      </c>
      <c r="B1548" s="1"/>
      <c r="C1548" s="1"/>
      <c r="D1548" s="1" t="str">
        <f>"偿还融资负债本金"</f>
        <v>偿还融资负债本金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-10479.27</v>
      </c>
      <c r="O1548" s="1">
        <v>31</v>
      </c>
      <c r="P1548" s="1">
        <v>0</v>
      </c>
    </row>
    <row r="1549" spans="1:16">
      <c r="A1549" s="1" t="str">
        <f>"20200309"</f>
        <v>20200309</v>
      </c>
      <c r="B1549" s="1" t="str">
        <f>"002183"</f>
        <v>002183</v>
      </c>
      <c r="C1549" s="1" t="str">
        <f>"怡 亚 通"</f>
        <v>怡 亚 通</v>
      </c>
      <c r="D1549" s="1" t="str">
        <f>"融资买入"</f>
        <v>融资买入</v>
      </c>
      <c r="E1549" s="1">
        <v>4.3</v>
      </c>
      <c r="F1549" s="1">
        <v>2500</v>
      </c>
      <c r="G1549" s="1">
        <v>10750</v>
      </c>
      <c r="H1549" s="1">
        <v>5.38</v>
      </c>
      <c r="I1549" s="1">
        <v>4.42</v>
      </c>
      <c r="J1549" s="1">
        <v>0</v>
      </c>
      <c r="K1549" s="1">
        <v>0</v>
      </c>
      <c r="L1549" s="1">
        <v>0</v>
      </c>
      <c r="M1549" s="1">
        <v>0</v>
      </c>
      <c r="N1549" s="1">
        <v>-10755.38</v>
      </c>
      <c r="O1549" s="1">
        <v>-10724.38</v>
      </c>
      <c r="P1549" s="1">
        <v>15000</v>
      </c>
    </row>
    <row r="1550" spans="1:16">
      <c r="A1550" s="1" t="str">
        <f>"20200309"</f>
        <v>20200309</v>
      </c>
      <c r="B1550" s="1"/>
      <c r="C1550" s="1"/>
      <c r="D1550" s="1" t="str">
        <f>"融资借入"</f>
        <v>融资借入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10755.38</v>
      </c>
      <c r="O1550" s="1">
        <v>31</v>
      </c>
      <c r="P1550" s="1">
        <v>0</v>
      </c>
    </row>
    <row r="1551" spans="1:16">
      <c r="A1551" s="1" t="str">
        <f t="shared" ref="A1551:A1555" si="521">"20200310"</f>
        <v>20200310</v>
      </c>
      <c r="B1551" s="1" t="str">
        <f>"002183"</f>
        <v>002183</v>
      </c>
      <c r="C1551" s="1" t="str">
        <f>"怡 亚 通"</f>
        <v>怡 亚 通</v>
      </c>
      <c r="D1551" s="1" t="str">
        <f>"卖券还款"</f>
        <v>卖券还款</v>
      </c>
      <c r="E1551" s="1">
        <v>4.08</v>
      </c>
      <c r="F1551" s="1">
        <v>2500</v>
      </c>
      <c r="G1551" s="1">
        <v>10200</v>
      </c>
      <c r="H1551" s="1">
        <v>5.1</v>
      </c>
      <c r="I1551" s="1">
        <v>4.2</v>
      </c>
      <c r="J1551" s="1">
        <v>10.2</v>
      </c>
      <c r="K1551" s="1">
        <v>0</v>
      </c>
      <c r="L1551" s="1">
        <v>0</v>
      </c>
      <c r="M1551" s="1">
        <v>0</v>
      </c>
      <c r="N1551" s="1">
        <v>10184.7</v>
      </c>
      <c r="O1551" s="1">
        <v>10215.7</v>
      </c>
      <c r="P1551" s="1">
        <v>12500</v>
      </c>
    </row>
    <row r="1552" spans="1:16">
      <c r="A1552" s="1" t="str">
        <f t="shared" si="521"/>
        <v>20200310</v>
      </c>
      <c r="B1552" s="1"/>
      <c r="C1552" s="1"/>
      <c r="D1552" s="1" t="str">
        <f>"偿还融资利息"</f>
        <v>偿还融资利息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-4.57</v>
      </c>
      <c r="O1552" s="1">
        <v>10211.13</v>
      </c>
      <c r="P1552" s="1">
        <v>0</v>
      </c>
    </row>
    <row r="1553" spans="1:16">
      <c r="A1553" s="1" t="str">
        <f t="shared" si="521"/>
        <v>20200310</v>
      </c>
      <c r="B1553" s="1"/>
      <c r="C1553" s="1"/>
      <c r="D1553" s="1" t="str">
        <f>"偿还融资负债本金"</f>
        <v>偿还融资负债本金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-1526.73</v>
      </c>
      <c r="O1553" s="1">
        <v>8684.4</v>
      </c>
      <c r="P1553" s="1">
        <v>0</v>
      </c>
    </row>
    <row r="1554" spans="1:16">
      <c r="A1554" s="1" t="str">
        <f t="shared" si="521"/>
        <v>20200310</v>
      </c>
      <c r="B1554" s="1"/>
      <c r="C1554" s="1"/>
      <c r="D1554" s="1" t="str">
        <f>"偿还融资利息"</f>
        <v>偿还融资利息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-119.34</v>
      </c>
      <c r="O1554" s="1">
        <v>8565.06</v>
      </c>
      <c r="P1554" s="1">
        <v>0</v>
      </c>
    </row>
    <row r="1555" spans="1:16">
      <c r="A1555" s="1" t="str">
        <f t="shared" si="521"/>
        <v>20200310</v>
      </c>
      <c r="B1555" s="1"/>
      <c r="C1555" s="1"/>
      <c r="D1555" s="1" t="str">
        <f>"偿还融资负债本金"</f>
        <v>偿还融资负债本金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-8508.56</v>
      </c>
      <c r="O1555" s="1">
        <v>56.5</v>
      </c>
      <c r="P1555" s="1">
        <v>0</v>
      </c>
    </row>
    <row r="1556" spans="1:16">
      <c r="A1556" s="1" t="str">
        <f>"20200318"</f>
        <v>20200318</v>
      </c>
      <c r="B1556" s="1" t="str">
        <f>"000543"</f>
        <v>000543</v>
      </c>
      <c r="C1556" s="1" t="str">
        <f>"皖能电力"</f>
        <v>皖能电力</v>
      </c>
      <c r="D1556" s="1" t="str">
        <f>"融资买入"</f>
        <v>融资买入</v>
      </c>
      <c r="E1556" s="1">
        <v>3.99</v>
      </c>
      <c r="F1556" s="1">
        <v>3000</v>
      </c>
      <c r="G1556" s="1">
        <v>11970</v>
      </c>
      <c r="H1556" s="1">
        <v>5.99</v>
      </c>
      <c r="I1556" s="1">
        <v>4.92</v>
      </c>
      <c r="J1556" s="1">
        <v>0</v>
      </c>
      <c r="K1556" s="1">
        <v>0</v>
      </c>
      <c r="L1556" s="1">
        <v>0</v>
      </c>
      <c r="M1556" s="1">
        <v>0</v>
      </c>
      <c r="N1556" s="1">
        <v>-11975.99</v>
      </c>
      <c r="O1556" s="1">
        <v>-11919.49</v>
      </c>
      <c r="P1556" s="1">
        <v>22000</v>
      </c>
    </row>
    <row r="1557" spans="1:16">
      <c r="A1557" s="1" t="str">
        <f>"20200318"</f>
        <v>20200318</v>
      </c>
      <c r="B1557" s="1"/>
      <c r="C1557" s="1"/>
      <c r="D1557" s="1" t="str">
        <f>"融资借入"</f>
        <v>融资借入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11975.99</v>
      </c>
      <c r="O1557" s="1">
        <v>56.5</v>
      </c>
      <c r="P1557" s="1">
        <v>0</v>
      </c>
    </row>
    <row r="1558" spans="1:16">
      <c r="A1558" s="1" t="str">
        <f>"20200319"</f>
        <v>20200319</v>
      </c>
      <c r="B1558" s="1"/>
      <c r="C1558" s="1"/>
      <c r="D1558" s="1" t="str">
        <f>"证券转银行"</f>
        <v>证券转银行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-50</v>
      </c>
      <c r="O1558" s="1">
        <v>6.5</v>
      </c>
      <c r="P1558" s="1">
        <v>0</v>
      </c>
    </row>
    <row r="1559" spans="1:16">
      <c r="A1559" s="1" t="str">
        <f>"20200320"</f>
        <v>20200320</v>
      </c>
      <c r="B1559" s="1"/>
      <c r="C1559" s="1"/>
      <c r="D1559" s="1" t="str">
        <f>"利息归本"</f>
        <v>利息归本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0.04</v>
      </c>
      <c r="O1559" s="1">
        <v>6.54</v>
      </c>
      <c r="P1559" s="1">
        <v>0</v>
      </c>
    </row>
    <row r="1560" spans="1:16">
      <c r="A1560" s="1" t="str">
        <f>"20200320"</f>
        <v>20200320</v>
      </c>
      <c r="B1560" s="1"/>
      <c r="C1560" s="1"/>
      <c r="D1560" s="1" t="str">
        <f>"偿还融资利息"</f>
        <v>偿还融资利息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-6.54</v>
      </c>
      <c r="O1560" s="1">
        <v>0</v>
      </c>
      <c r="P1560" s="1">
        <v>0</v>
      </c>
    </row>
    <row r="1561" spans="1:16">
      <c r="A1561" s="1" t="str">
        <f t="shared" ref="A1561:A1564" si="522">"20200415"</f>
        <v>20200415</v>
      </c>
      <c r="B1561" s="1"/>
      <c r="C1561" s="1"/>
      <c r="D1561" s="1" t="str">
        <f>"银行转证券"</f>
        <v>银行转证券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12004.23</v>
      </c>
      <c r="O1561" s="1">
        <v>12004.23</v>
      </c>
      <c r="P1561" s="1">
        <v>0</v>
      </c>
    </row>
    <row r="1562" spans="1:16">
      <c r="A1562" s="1" t="str">
        <f t="shared" si="522"/>
        <v>20200415</v>
      </c>
      <c r="B1562" s="1" t="str">
        <f>"000543"</f>
        <v>000543</v>
      </c>
      <c r="C1562" s="1" t="str">
        <f>"皖能电力"</f>
        <v>皖能电力</v>
      </c>
      <c r="D1562" s="1" t="str">
        <f>"融资买入"</f>
        <v>融资买入</v>
      </c>
      <c r="E1562" s="1">
        <v>3.92</v>
      </c>
      <c r="F1562" s="1">
        <v>3000</v>
      </c>
      <c r="G1562" s="1">
        <v>11760</v>
      </c>
      <c r="H1562" s="1">
        <v>5.88</v>
      </c>
      <c r="I1562" s="1">
        <v>4.83</v>
      </c>
      <c r="J1562" s="1">
        <v>0</v>
      </c>
      <c r="K1562" s="1">
        <v>0</v>
      </c>
      <c r="L1562" s="1">
        <v>0</v>
      </c>
      <c r="M1562" s="1">
        <v>0</v>
      </c>
      <c r="N1562" s="1">
        <v>-11765.88</v>
      </c>
      <c r="O1562" s="1">
        <v>238.35</v>
      </c>
      <c r="P1562" s="1">
        <v>25000</v>
      </c>
    </row>
    <row r="1563" spans="1:16">
      <c r="A1563" s="1" t="str">
        <f t="shared" si="522"/>
        <v>20200415</v>
      </c>
      <c r="B1563" s="1"/>
      <c r="C1563" s="1"/>
      <c r="D1563" s="1" t="str">
        <f>"融资借入"</f>
        <v>融资借入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11765.88</v>
      </c>
      <c r="O1563" s="1">
        <v>12004.23</v>
      </c>
      <c r="P1563" s="1">
        <v>0</v>
      </c>
    </row>
    <row r="1564" spans="1:16">
      <c r="A1564" s="1" t="str">
        <f t="shared" si="522"/>
        <v>20200415</v>
      </c>
      <c r="B1564" s="1" t="str">
        <f>"300829"</f>
        <v>300829</v>
      </c>
      <c r="C1564" s="1"/>
      <c r="D1564" s="1" t="str">
        <f>"配售缴款"</f>
        <v>配售缴款</v>
      </c>
      <c r="E1564" s="1">
        <v>22.53</v>
      </c>
      <c r="F1564" s="1">
        <v>500</v>
      </c>
      <c r="G1564" s="1">
        <v>11265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-11265</v>
      </c>
      <c r="O1564" s="1">
        <v>739.23</v>
      </c>
      <c r="P1564" s="1">
        <v>0</v>
      </c>
    </row>
    <row r="1565" spans="1:16">
      <c r="A1565" s="1" t="str">
        <f>"20200417"</f>
        <v>20200417</v>
      </c>
      <c r="B1565" s="1" t="str">
        <f>"300829"</f>
        <v>300829</v>
      </c>
      <c r="C1565" s="1" t="str">
        <f>"金丹科技"</f>
        <v>金丹科技</v>
      </c>
      <c r="D1565" s="1" t="str">
        <f>"新股入帐"</f>
        <v>新股入帐</v>
      </c>
      <c r="E1565" s="1">
        <v>22.53</v>
      </c>
      <c r="F1565" s="1">
        <v>500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739.23</v>
      </c>
      <c r="P1565" s="1">
        <v>500</v>
      </c>
    </row>
    <row r="1566" spans="1:16">
      <c r="A1566" s="1" t="str">
        <f t="shared" ref="A1566:A1570" si="523">"20200420"</f>
        <v>20200420</v>
      </c>
      <c r="B1566" s="1"/>
      <c r="C1566" s="1"/>
      <c r="D1566" s="1" t="str">
        <f t="shared" ref="D1566:D1570" si="524">"偿还融资利息"</f>
        <v>偿还融资利息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-58.08</v>
      </c>
      <c r="O1566" s="1">
        <v>681.15</v>
      </c>
      <c r="P1566" s="1">
        <v>0</v>
      </c>
    </row>
    <row r="1567" spans="1:16">
      <c r="A1567" s="1" t="str">
        <f t="shared" si="523"/>
        <v>20200420</v>
      </c>
      <c r="B1567" s="1"/>
      <c r="C1567" s="1"/>
      <c r="D1567" s="1" t="str">
        <f t="shared" si="524"/>
        <v>偿还融资利息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-134.69</v>
      </c>
      <c r="O1567" s="1">
        <v>546.46</v>
      </c>
      <c r="P1567" s="1">
        <v>0</v>
      </c>
    </row>
    <row r="1568" spans="1:16">
      <c r="A1568" s="1" t="str">
        <f t="shared" si="523"/>
        <v>20200420</v>
      </c>
      <c r="B1568" s="1"/>
      <c r="C1568" s="1"/>
      <c r="D1568" s="1" t="str">
        <f t="shared" si="524"/>
        <v>偿还融资利息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-305.68</v>
      </c>
      <c r="O1568" s="1">
        <v>240.78</v>
      </c>
      <c r="P1568" s="1">
        <v>0</v>
      </c>
    </row>
    <row r="1569" spans="1:16">
      <c r="A1569" s="1" t="str">
        <f t="shared" si="523"/>
        <v>20200420</v>
      </c>
      <c r="B1569" s="1"/>
      <c r="C1569" s="1"/>
      <c r="D1569" s="1" t="str">
        <f t="shared" si="524"/>
        <v>偿还融资利息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-155.73</v>
      </c>
      <c r="O1569" s="1">
        <v>85.05</v>
      </c>
      <c r="P1569" s="1">
        <v>0</v>
      </c>
    </row>
    <row r="1570" spans="1:16">
      <c r="A1570" s="1" t="str">
        <f t="shared" si="523"/>
        <v>20200420</v>
      </c>
      <c r="B1570" s="1"/>
      <c r="C1570" s="1"/>
      <c r="D1570" s="1" t="str">
        <f t="shared" si="524"/>
        <v>偿还融资利息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-85.05</v>
      </c>
      <c r="O1570" s="1">
        <v>0</v>
      </c>
      <c r="P1570" s="1">
        <v>0</v>
      </c>
    </row>
    <row r="1571" spans="1:16">
      <c r="A1571" s="1" t="str">
        <f>"20200423"</f>
        <v>20200423</v>
      </c>
      <c r="B1571" s="1" t="str">
        <f>"600362"</f>
        <v>600362</v>
      </c>
      <c r="C1571" s="1" t="str">
        <f>"江西铜业"</f>
        <v>江西铜业</v>
      </c>
      <c r="D1571" s="1" t="str">
        <f>"融资买入"</f>
        <v>融资买入</v>
      </c>
      <c r="E1571" s="1">
        <v>12.9</v>
      </c>
      <c r="F1571" s="1">
        <v>1000</v>
      </c>
      <c r="G1571" s="1">
        <v>12900</v>
      </c>
      <c r="H1571" s="1">
        <v>6.45</v>
      </c>
      <c r="I1571" s="1">
        <v>5.56</v>
      </c>
      <c r="J1571" s="1">
        <v>0</v>
      </c>
      <c r="K1571" s="1">
        <v>0.26</v>
      </c>
      <c r="L1571" s="1">
        <v>0</v>
      </c>
      <c r="M1571" s="1">
        <v>0</v>
      </c>
      <c r="N1571" s="1">
        <v>-12906.71</v>
      </c>
      <c r="O1571" s="1">
        <v>-12906.71</v>
      </c>
      <c r="P1571" s="1">
        <v>1000</v>
      </c>
    </row>
    <row r="1572" spans="1:16">
      <c r="A1572" s="1" t="str">
        <f>"20200423"</f>
        <v>20200423</v>
      </c>
      <c r="B1572" s="1"/>
      <c r="C1572" s="1"/>
      <c r="D1572" s="1" t="str">
        <f>"融资借入"</f>
        <v>融资借入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12906.71</v>
      </c>
      <c r="O1572" s="1">
        <v>0</v>
      </c>
      <c r="P1572" s="1">
        <v>0</v>
      </c>
    </row>
    <row r="1573" spans="1:16">
      <c r="A1573" s="1" t="str">
        <f>"20200429"</f>
        <v>20200429</v>
      </c>
      <c r="B1573" s="1"/>
      <c r="C1573" s="1"/>
      <c r="D1573" s="1" t="str">
        <f>"银行转证券"</f>
        <v>银行转证券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9723.11</v>
      </c>
      <c r="O1573" s="1">
        <v>9723.11</v>
      </c>
      <c r="P1573" s="1">
        <v>0</v>
      </c>
    </row>
    <row r="1574" spans="1:16">
      <c r="A1574" s="1" t="str">
        <f>"20200429"</f>
        <v>20200429</v>
      </c>
      <c r="B1574" s="1" t="str">
        <f>"300829"</f>
        <v>300829</v>
      </c>
      <c r="C1574" s="1" t="str">
        <f>"金丹科技"</f>
        <v>金丹科技</v>
      </c>
      <c r="D1574" s="1" t="str">
        <f>"担保品卖出"</f>
        <v>担保品卖出</v>
      </c>
      <c r="E1574" s="1">
        <v>40.2</v>
      </c>
      <c r="F1574" s="1">
        <v>500</v>
      </c>
      <c r="G1574" s="1">
        <v>20100</v>
      </c>
      <c r="H1574" s="1">
        <v>6.23</v>
      </c>
      <c r="I1574" s="1">
        <v>4.45</v>
      </c>
      <c r="J1574" s="1">
        <v>20.1</v>
      </c>
      <c r="K1574" s="1">
        <v>0</v>
      </c>
      <c r="L1574" s="1">
        <v>0</v>
      </c>
      <c r="M1574" s="1">
        <v>0</v>
      </c>
      <c r="N1574" s="1">
        <v>20073.67</v>
      </c>
      <c r="O1574" s="1">
        <v>29796.78</v>
      </c>
      <c r="P1574" s="1">
        <v>0</v>
      </c>
    </row>
    <row r="1575" spans="1:16">
      <c r="A1575" s="1" t="str">
        <f t="shared" ref="A1575:A1577" si="525">"20200506"</f>
        <v>20200506</v>
      </c>
      <c r="B1575" s="1"/>
      <c r="C1575" s="1"/>
      <c r="D1575" s="1" t="str">
        <f>"证券转银行"</f>
        <v>证券转银行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-26000</v>
      </c>
      <c r="O1575" s="1">
        <v>3796.78</v>
      </c>
      <c r="P1575" s="1">
        <v>0</v>
      </c>
    </row>
    <row r="1576" spans="1:16">
      <c r="A1576" s="1" t="str">
        <f t="shared" si="525"/>
        <v>20200506</v>
      </c>
      <c r="B1576" s="1"/>
      <c r="C1576" s="1"/>
      <c r="D1576" s="1" t="str">
        <f>"偿还融资利息"</f>
        <v>偿还融资利息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-23.07</v>
      </c>
      <c r="O1576" s="1">
        <v>3773.71</v>
      </c>
      <c r="P1576" s="1">
        <v>0</v>
      </c>
    </row>
    <row r="1577" spans="1:16">
      <c r="A1577" s="1" t="str">
        <f t="shared" si="525"/>
        <v>20200506</v>
      </c>
      <c r="B1577" s="1"/>
      <c r="C1577" s="1"/>
      <c r="D1577" s="1" t="str">
        <f>"偿还融资负债本金"</f>
        <v>偿还融资负债本金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-2976.93</v>
      </c>
      <c r="O1577" s="1">
        <v>796.78</v>
      </c>
      <c r="P1577" s="1">
        <v>0</v>
      </c>
    </row>
    <row r="1578" spans="1:16">
      <c r="A1578" s="1" t="str">
        <f>"20200512"</f>
        <v>20200512</v>
      </c>
      <c r="B1578" s="1" t="str">
        <f>"000543"</f>
        <v>000543</v>
      </c>
      <c r="C1578" s="1" t="str">
        <f>"皖能电力"</f>
        <v>皖能电力</v>
      </c>
      <c r="D1578" s="1" t="str">
        <f>"融资买入"</f>
        <v>融资买入</v>
      </c>
      <c r="E1578" s="1">
        <v>3.86</v>
      </c>
      <c r="F1578" s="1">
        <v>3000</v>
      </c>
      <c r="G1578" s="1">
        <v>11580</v>
      </c>
      <c r="H1578" s="1">
        <v>5.79</v>
      </c>
      <c r="I1578" s="1">
        <v>4.77</v>
      </c>
      <c r="J1578" s="1">
        <v>0</v>
      </c>
      <c r="K1578" s="1">
        <v>0</v>
      </c>
      <c r="L1578" s="1">
        <v>0</v>
      </c>
      <c r="M1578" s="1">
        <v>0</v>
      </c>
      <c r="N1578" s="1">
        <v>-11585.79</v>
      </c>
      <c r="O1578" s="1">
        <v>-10789.01</v>
      </c>
      <c r="P1578" s="1">
        <v>28000</v>
      </c>
    </row>
    <row r="1579" spans="1:16">
      <c r="A1579" s="1" t="str">
        <f>"20200512"</f>
        <v>20200512</v>
      </c>
      <c r="B1579" s="1"/>
      <c r="C1579" s="1"/>
      <c r="D1579" s="1" t="str">
        <f>"融资借入"</f>
        <v>融资借入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11585.79</v>
      </c>
      <c r="O1579" s="1">
        <v>796.78</v>
      </c>
      <c r="P1579" s="1">
        <v>0</v>
      </c>
    </row>
    <row r="1580" spans="1:16">
      <c r="A1580" s="1" t="str">
        <f t="shared" ref="A1580:A1593" si="526">"20200520"</f>
        <v>20200520</v>
      </c>
      <c r="B1580" s="1" t="str">
        <f>"600362"</f>
        <v>600362</v>
      </c>
      <c r="C1580" s="1" t="str">
        <f>"江西铜业"</f>
        <v>江西铜业</v>
      </c>
      <c r="D1580" s="1" t="str">
        <f>"卖券还款"</f>
        <v>卖券还款</v>
      </c>
      <c r="E1580" s="1">
        <v>12.94</v>
      </c>
      <c r="F1580" s="1">
        <v>1000</v>
      </c>
      <c r="G1580" s="1">
        <v>12940</v>
      </c>
      <c r="H1580" s="1">
        <v>6.47</v>
      </c>
      <c r="I1580" s="1">
        <v>5.58</v>
      </c>
      <c r="J1580" s="1">
        <v>12.94</v>
      </c>
      <c r="K1580" s="1">
        <v>0.26</v>
      </c>
      <c r="L1580" s="1">
        <v>0</v>
      </c>
      <c r="M1580" s="1">
        <v>0</v>
      </c>
      <c r="N1580" s="1">
        <v>12920.33</v>
      </c>
      <c r="O1580" s="1">
        <v>13717.11</v>
      </c>
      <c r="P1580" s="1">
        <v>0</v>
      </c>
    </row>
    <row r="1581" spans="1:16">
      <c r="A1581" s="1" t="str">
        <f t="shared" si="526"/>
        <v>20200520</v>
      </c>
      <c r="B1581" s="1"/>
      <c r="C1581" s="1"/>
      <c r="D1581" s="1" t="str">
        <f t="shared" ref="D1581:D1585" si="527">"偿还融资利息"</f>
        <v>偿还融资利息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-11.78</v>
      </c>
      <c r="O1581" s="1">
        <v>13705.33</v>
      </c>
      <c r="P1581" s="1">
        <v>0</v>
      </c>
    </row>
    <row r="1582" spans="1:16">
      <c r="A1582" s="1" t="str">
        <f t="shared" si="526"/>
        <v>20200520</v>
      </c>
      <c r="B1582" s="1"/>
      <c r="C1582" s="1"/>
      <c r="D1582" s="1" t="str">
        <f t="shared" ref="D1582:D1586" si="528">"偿还融资负债本金"</f>
        <v>偿还融资负债本金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-3642.07</v>
      </c>
      <c r="O1582" s="1">
        <v>10063.26</v>
      </c>
      <c r="P1582" s="1">
        <v>0</v>
      </c>
    </row>
    <row r="1583" spans="1:16">
      <c r="A1583" s="1" t="str">
        <f t="shared" si="526"/>
        <v>20200520</v>
      </c>
      <c r="B1583" s="1"/>
      <c r="C1583" s="1"/>
      <c r="D1583" s="1" t="str">
        <f t="shared" si="527"/>
        <v>偿还融资利息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-52.79</v>
      </c>
      <c r="O1583" s="1">
        <v>10010.47</v>
      </c>
      <c r="P1583" s="1">
        <v>0</v>
      </c>
    </row>
    <row r="1584" spans="1:16">
      <c r="A1584" s="1" t="str">
        <f t="shared" si="526"/>
        <v>20200520</v>
      </c>
      <c r="B1584" s="1"/>
      <c r="C1584" s="1"/>
      <c r="D1584" s="1" t="str">
        <f t="shared" si="528"/>
        <v>偿还融资负债本金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-7855</v>
      </c>
      <c r="O1584" s="1">
        <v>2155.47</v>
      </c>
      <c r="P1584" s="1">
        <v>0</v>
      </c>
    </row>
    <row r="1585" spans="1:16">
      <c r="A1585" s="1" t="str">
        <f t="shared" si="526"/>
        <v>20200520</v>
      </c>
      <c r="B1585" s="1"/>
      <c r="C1585" s="1"/>
      <c r="D1585" s="1" t="str">
        <f t="shared" si="527"/>
        <v>偿还融资利息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-128.48</v>
      </c>
      <c r="O1585" s="1">
        <v>2026.99</v>
      </c>
      <c r="P1585" s="1">
        <v>0</v>
      </c>
    </row>
    <row r="1586" spans="1:16">
      <c r="A1586" s="1" t="str">
        <f t="shared" si="526"/>
        <v>20200520</v>
      </c>
      <c r="B1586" s="1"/>
      <c r="C1586" s="1"/>
      <c r="D1586" s="1" t="str">
        <f t="shared" si="528"/>
        <v>偿还融资负债本金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-1197.86</v>
      </c>
      <c r="O1586" s="1">
        <v>829.13</v>
      </c>
      <c r="P1586" s="1">
        <v>0</v>
      </c>
    </row>
    <row r="1587" spans="1:16">
      <c r="A1587" s="1" t="str">
        <f t="shared" si="526"/>
        <v>20200520</v>
      </c>
      <c r="B1587" s="1"/>
      <c r="C1587" s="1"/>
      <c r="D1587" s="1" t="str">
        <f t="shared" ref="D1587:D1593" si="529">"偿还融资利息"</f>
        <v>偿还融资利息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-4.15</v>
      </c>
      <c r="O1587" s="1">
        <v>824.98</v>
      </c>
      <c r="P1587" s="1">
        <v>0</v>
      </c>
    </row>
    <row r="1588" spans="1:16">
      <c r="A1588" s="1" t="str">
        <f t="shared" si="526"/>
        <v>20200520</v>
      </c>
      <c r="B1588" s="1"/>
      <c r="C1588" s="1"/>
      <c r="D1588" s="1" t="str">
        <f t="shared" si="529"/>
        <v>偿还融资利息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-84.95</v>
      </c>
      <c r="O1588" s="1">
        <v>740.03</v>
      </c>
      <c r="P1588" s="1">
        <v>0</v>
      </c>
    </row>
    <row r="1589" spans="1:16">
      <c r="A1589" s="1" t="str">
        <f t="shared" si="526"/>
        <v>20200520</v>
      </c>
      <c r="B1589" s="1"/>
      <c r="C1589" s="1"/>
      <c r="D1589" s="1" t="str">
        <f t="shared" si="529"/>
        <v>偿还融资利息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-96.83</v>
      </c>
      <c r="O1589" s="1">
        <v>643.2</v>
      </c>
      <c r="P1589" s="1">
        <v>0</v>
      </c>
    </row>
    <row r="1590" spans="1:16">
      <c r="A1590" s="1" t="str">
        <f t="shared" si="526"/>
        <v>20200520</v>
      </c>
      <c r="B1590" s="1"/>
      <c r="C1590" s="1"/>
      <c r="D1590" s="1" t="str">
        <f t="shared" si="529"/>
        <v>偿还融资利息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-177.9</v>
      </c>
      <c r="O1590" s="1">
        <v>465.3</v>
      </c>
      <c r="P1590" s="1">
        <v>0</v>
      </c>
    </row>
    <row r="1591" spans="1:16">
      <c r="A1591" s="1" t="str">
        <f t="shared" si="526"/>
        <v>20200520</v>
      </c>
      <c r="B1591" s="1"/>
      <c r="C1591" s="1"/>
      <c r="D1591" s="1" t="str">
        <f t="shared" si="529"/>
        <v>偿还融资利息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-98.28</v>
      </c>
      <c r="O1591" s="1">
        <v>367.02</v>
      </c>
      <c r="P1591" s="1">
        <v>0</v>
      </c>
    </row>
    <row r="1592" spans="1:16">
      <c r="A1592" s="1" t="str">
        <f t="shared" si="526"/>
        <v>20200520</v>
      </c>
      <c r="B1592" s="1"/>
      <c r="C1592" s="1"/>
      <c r="D1592" s="1" t="str">
        <f t="shared" si="529"/>
        <v>偿还融资利息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-83.77</v>
      </c>
      <c r="O1592" s="1">
        <v>283.25</v>
      </c>
      <c r="P1592" s="1">
        <v>0</v>
      </c>
    </row>
    <row r="1593" spans="1:16">
      <c r="A1593" s="1" t="str">
        <f t="shared" si="526"/>
        <v>20200520</v>
      </c>
      <c r="B1593" s="1"/>
      <c r="C1593" s="1"/>
      <c r="D1593" s="1" t="str">
        <f t="shared" si="529"/>
        <v>偿还融资利息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-24.2</v>
      </c>
      <c r="O1593" s="1">
        <v>259.05</v>
      </c>
      <c r="P1593" s="1">
        <v>0</v>
      </c>
    </row>
    <row r="1594" spans="1:16">
      <c r="A1594" s="1" t="str">
        <f>"20200528"</f>
        <v>20200528</v>
      </c>
      <c r="B1594" s="1" t="str">
        <f>"600362"</f>
        <v>600362</v>
      </c>
      <c r="C1594" s="1" t="str">
        <f>"江西铜业"</f>
        <v>江西铜业</v>
      </c>
      <c r="D1594" s="1" t="str">
        <f>"融资买入"</f>
        <v>融资买入</v>
      </c>
      <c r="E1594" s="1">
        <v>12.66</v>
      </c>
      <c r="F1594" s="1">
        <v>1000</v>
      </c>
      <c r="G1594" s="1">
        <v>12660</v>
      </c>
      <c r="H1594" s="1">
        <v>6.33</v>
      </c>
      <c r="I1594" s="1">
        <v>5.46</v>
      </c>
      <c r="J1594" s="1">
        <v>0</v>
      </c>
      <c r="K1594" s="1">
        <v>0.25</v>
      </c>
      <c r="L1594" s="1">
        <v>0</v>
      </c>
      <c r="M1594" s="1">
        <v>0</v>
      </c>
      <c r="N1594" s="1">
        <v>-12666.58</v>
      </c>
      <c r="O1594" s="1">
        <v>-12407.53</v>
      </c>
      <c r="P1594" s="1">
        <v>1000</v>
      </c>
    </row>
    <row r="1595" spans="1:16">
      <c r="A1595" s="1" t="str">
        <f>"20200528"</f>
        <v>20200528</v>
      </c>
      <c r="B1595" s="1"/>
      <c r="C1595" s="1"/>
      <c r="D1595" s="1" t="str">
        <f>"融资借入"</f>
        <v>融资借入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12666.58</v>
      </c>
      <c r="O1595" s="1">
        <v>259.05</v>
      </c>
      <c r="P1595" s="1">
        <v>0</v>
      </c>
    </row>
    <row r="1596" spans="1:16">
      <c r="A1596" s="1" t="str">
        <f t="shared" ref="A1596:A1598" si="530">"20200603"</f>
        <v>20200603</v>
      </c>
      <c r="B1596" s="1" t="str">
        <f>"600362"</f>
        <v>600362</v>
      </c>
      <c r="C1596" s="1" t="str">
        <f>"江西铜业"</f>
        <v>江西铜业</v>
      </c>
      <c r="D1596" s="1" t="str">
        <f>"卖券还款"</f>
        <v>卖券还款</v>
      </c>
      <c r="E1596" s="1">
        <v>13.11</v>
      </c>
      <c r="F1596" s="1">
        <v>1000</v>
      </c>
      <c r="G1596" s="1">
        <v>13110</v>
      </c>
      <c r="H1596" s="1">
        <v>6.56</v>
      </c>
      <c r="I1596" s="1">
        <v>5.66</v>
      </c>
      <c r="J1596" s="1">
        <v>13.11</v>
      </c>
      <c r="K1596" s="1">
        <v>0.26</v>
      </c>
      <c r="L1596" s="1">
        <v>0</v>
      </c>
      <c r="M1596" s="1">
        <v>0</v>
      </c>
      <c r="N1596" s="1">
        <v>13090.07</v>
      </c>
      <c r="O1596" s="1">
        <v>13349.12</v>
      </c>
      <c r="P1596" s="1">
        <v>0</v>
      </c>
    </row>
    <row r="1597" spans="1:16">
      <c r="A1597" s="1" t="str">
        <f t="shared" si="530"/>
        <v>20200603</v>
      </c>
      <c r="B1597" s="1"/>
      <c r="C1597" s="1"/>
      <c r="D1597" s="1" t="str">
        <f>"偿还融资利息"</f>
        <v>偿还融资利息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-53.97</v>
      </c>
      <c r="O1597" s="1">
        <v>13295.15</v>
      </c>
      <c r="P1597" s="1">
        <v>0</v>
      </c>
    </row>
    <row r="1598" spans="1:16">
      <c r="A1598" s="1" t="str">
        <f t="shared" si="530"/>
        <v>20200603</v>
      </c>
      <c r="B1598" s="1"/>
      <c r="C1598" s="1"/>
      <c r="D1598" s="1" t="str">
        <f>"偿还融资负债本金"</f>
        <v>偿还融资负债本金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-13003.33</v>
      </c>
      <c r="O1598" s="1">
        <v>291.82</v>
      </c>
      <c r="P1598" s="1">
        <v>0</v>
      </c>
    </row>
    <row r="1599" spans="1:16">
      <c r="A1599" s="1" t="str">
        <f t="shared" ref="A1599:A1607" si="531">"20200604"</f>
        <v>20200604</v>
      </c>
      <c r="B1599" s="1" t="str">
        <f>"000543"</f>
        <v>000543</v>
      </c>
      <c r="C1599" s="1" t="str">
        <f>"皖能电力"</f>
        <v>皖能电力</v>
      </c>
      <c r="D1599" s="1" t="str">
        <f>"卖券还款"</f>
        <v>卖券还款</v>
      </c>
      <c r="E1599" s="1">
        <v>3.92</v>
      </c>
      <c r="F1599" s="1">
        <v>3000</v>
      </c>
      <c r="G1599" s="1">
        <v>11760</v>
      </c>
      <c r="H1599" s="1">
        <v>5.88</v>
      </c>
      <c r="I1599" s="1">
        <v>4.83</v>
      </c>
      <c r="J1599" s="1">
        <v>11.76</v>
      </c>
      <c r="K1599" s="1">
        <v>0</v>
      </c>
      <c r="L1599" s="1">
        <v>0</v>
      </c>
      <c r="M1599" s="1">
        <v>0</v>
      </c>
      <c r="N1599" s="1">
        <v>11742.36</v>
      </c>
      <c r="O1599" s="1">
        <v>12034.18</v>
      </c>
      <c r="P1599" s="1">
        <v>25000</v>
      </c>
    </row>
    <row r="1600" spans="1:16">
      <c r="A1600" s="1" t="str">
        <f t="shared" si="531"/>
        <v>20200604</v>
      </c>
      <c r="B1600" s="1" t="str">
        <f>"603707"</f>
        <v>603707</v>
      </c>
      <c r="C1600" s="1" t="str">
        <f>"健友股份"</f>
        <v>健友股份</v>
      </c>
      <c r="D1600" s="1" t="str">
        <f>"融券卖出"</f>
        <v>融券卖出</v>
      </c>
      <c r="E1600" s="1">
        <v>61.01</v>
      </c>
      <c r="F1600" s="1">
        <v>200</v>
      </c>
      <c r="G1600" s="1">
        <v>12202</v>
      </c>
      <c r="H1600" s="1">
        <v>6.1</v>
      </c>
      <c r="I1600" s="1">
        <v>5.27</v>
      </c>
      <c r="J1600" s="1">
        <v>12.2</v>
      </c>
      <c r="K1600" s="1">
        <v>0.24</v>
      </c>
      <c r="L1600" s="1">
        <v>0</v>
      </c>
      <c r="M1600" s="1">
        <v>0</v>
      </c>
      <c r="N1600" s="1">
        <v>12183.46</v>
      </c>
      <c r="O1600" s="1">
        <v>24217.64</v>
      </c>
      <c r="P1600" s="1">
        <v>0</v>
      </c>
    </row>
    <row r="1601" spans="1:16">
      <c r="A1601" s="1" t="str">
        <f t="shared" si="531"/>
        <v>20200604</v>
      </c>
      <c r="B1601" s="1" t="str">
        <f>"600362"</f>
        <v>600362</v>
      </c>
      <c r="C1601" s="1" t="str">
        <f>"江西铜业"</f>
        <v>江西铜业</v>
      </c>
      <c r="D1601" s="1" t="str">
        <f>"融资买入"</f>
        <v>融资买入</v>
      </c>
      <c r="E1601" s="1">
        <v>12.87</v>
      </c>
      <c r="F1601" s="1">
        <v>1000</v>
      </c>
      <c r="G1601" s="1">
        <v>12870</v>
      </c>
      <c r="H1601" s="1">
        <v>6.44</v>
      </c>
      <c r="I1601" s="1">
        <v>5.55</v>
      </c>
      <c r="J1601" s="1">
        <v>0</v>
      </c>
      <c r="K1601" s="1">
        <v>0.26</v>
      </c>
      <c r="L1601" s="1">
        <v>0</v>
      </c>
      <c r="M1601" s="1">
        <v>0</v>
      </c>
      <c r="N1601" s="1">
        <v>-12876.7</v>
      </c>
      <c r="O1601" s="1">
        <v>11340.94</v>
      </c>
      <c r="P1601" s="1">
        <v>1000</v>
      </c>
    </row>
    <row r="1602" spans="1:16">
      <c r="A1602" s="1" t="str">
        <f t="shared" si="531"/>
        <v>20200604</v>
      </c>
      <c r="B1602" s="1"/>
      <c r="C1602" s="1"/>
      <c r="D1602" s="1" t="str">
        <f>"融资借入"</f>
        <v>融资借入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12876.7</v>
      </c>
      <c r="O1602" s="1">
        <v>24217.64</v>
      </c>
      <c r="P1602" s="1">
        <v>0</v>
      </c>
    </row>
    <row r="1603" spans="1:16">
      <c r="A1603" s="1" t="str">
        <f t="shared" si="531"/>
        <v>20200604</v>
      </c>
      <c r="B1603" s="1" t="str">
        <f>"603707"</f>
        <v>603707</v>
      </c>
      <c r="C1603" s="1" t="str">
        <f>"健友股份"</f>
        <v>健友股份</v>
      </c>
      <c r="D1603" s="1" t="str">
        <f>"融券借入"</f>
        <v>融券借入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</row>
    <row r="1604" spans="1:16">
      <c r="A1604" s="1" t="str">
        <f t="shared" si="531"/>
        <v>20200604</v>
      </c>
      <c r="B1604" s="1"/>
      <c r="C1604" s="1"/>
      <c r="D1604" s="1" t="str">
        <f>"偿还融资利息"</f>
        <v>偿还融资利息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-1.14</v>
      </c>
      <c r="O1604" s="1">
        <v>24216.5</v>
      </c>
      <c r="P1604" s="1">
        <v>0</v>
      </c>
    </row>
    <row r="1605" spans="1:16">
      <c r="A1605" s="1" t="str">
        <f t="shared" si="531"/>
        <v>20200604</v>
      </c>
      <c r="B1605" s="1"/>
      <c r="C1605" s="1"/>
      <c r="D1605" s="1" t="str">
        <f>"偿还融资负债本金"</f>
        <v>偿还融资负债本金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-4908.36</v>
      </c>
      <c r="O1605" s="1">
        <v>19308.14</v>
      </c>
      <c r="P1605" s="1">
        <v>0</v>
      </c>
    </row>
    <row r="1606" spans="1:16">
      <c r="A1606" s="1" t="str">
        <f t="shared" si="531"/>
        <v>20200604</v>
      </c>
      <c r="B1606" s="1"/>
      <c r="C1606" s="1"/>
      <c r="D1606" s="1" t="str">
        <f>"偿还融资利息"</f>
        <v>偿还融资利息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-39.64</v>
      </c>
      <c r="O1606" s="1">
        <v>19268.5</v>
      </c>
      <c r="P1606" s="1">
        <v>0</v>
      </c>
    </row>
    <row r="1607" spans="1:16">
      <c r="A1607" s="1" t="str">
        <f t="shared" si="531"/>
        <v>20200604</v>
      </c>
      <c r="B1607" s="1"/>
      <c r="C1607" s="1"/>
      <c r="D1607" s="1" t="str">
        <f>"偿还融资负债本金"</f>
        <v>偿还融资负债本金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-6763.82</v>
      </c>
      <c r="O1607" s="1">
        <v>12504.68</v>
      </c>
      <c r="P1607" s="1">
        <v>0</v>
      </c>
    </row>
    <row r="1608" spans="1:16">
      <c r="A1608" s="1" t="str">
        <f t="shared" ref="A1608:A1613" si="532">"20200605"</f>
        <v>20200605</v>
      </c>
      <c r="B1608" s="1" t="str">
        <f>"600362"</f>
        <v>600362</v>
      </c>
      <c r="C1608" s="1" t="str">
        <f>"江西铜业"</f>
        <v>江西铜业</v>
      </c>
      <c r="D1608" s="1" t="str">
        <f>"卖券还款"</f>
        <v>卖券还款</v>
      </c>
      <c r="E1608" s="1">
        <v>12.97</v>
      </c>
      <c r="F1608" s="1">
        <v>1000</v>
      </c>
      <c r="G1608" s="1">
        <v>12970</v>
      </c>
      <c r="H1608" s="1">
        <v>6.49</v>
      </c>
      <c r="I1608" s="1">
        <v>5.6</v>
      </c>
      <c r="J1608" s="1">
        <v>12.97</v>
      </c>
      <c r="K1608" s="1">
        <v>0.26</v>
      </c>
      <c r="L1608" s="1">
        <v>0</v>
      </c>
      <c r="M1608" s="1">
        <v>0</v>
      </c>
      <c r="N1608" s="1">
        <v>12950.28</v>
      </c>
      <c r="O1608" s="1">
        <v>25454.96</v>
      </c>
      <c r="P1608" s="1">
        <v>0</v>
      </c>
    </row>
    <row r="1609" spans="1:16">
      <c r="A1609" s="1" t="str">
        <f t="shared" si="532"/>
        <v>20200605</v>
      </c>
      <c r="B1609" s="1"/>
      <c r="C1609" s="1"/>
      <c r="D1609" s="1" t="str">
        <f>"偿还融券费用"</f>
        <v>偿还融券费用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-2.84</v>
      </c>
      <c r="O1609" s="1">
        <v>25452.12</v>
      </c>
      <c r="P1609" s="1">
        <v>0</v>
      </c>
    </row>
    <row r="1610" spans="1:16">
      <c r="A1610" s="1" t="str">
        <f t="shared" si="532"/>
        <v>20200605</v>
      </c>
      <c r="B1610" s="1"/>
      <c r="C1610" s="1"/>
      <c r="D1610" s="1" t="str">
        <f>"偿还融资利息"</f>
        <v>偿还融资利息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-1.26</v>
      </c>
      <c r="O1610" s="1">
        <v>25450.86</v>
      </c>
      <c r="P1610" s="1">
        <v>0</v>
      </c>
    </row>
    <row r="1611" spans="1:16">
      <c r="A1611" s="1" t="str">
        <f t="shared" si="532"/>
        <v>20200605</v>
      </c>
      <c r="B1611" s="1"/>
      <c r="C1611" s="1"/>
      <c r="D1611" s="1" t="str">
        <f>"偿还融资负债本金"</f>
        <v>偿还融资负债本金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-5452.29</v>
      </c>
      <c r="O1611" s="1">
        <v>19998.57</v>
      </c>
      <c r="P1611" s="1">
        <v>0</v>
      </c>
    </row>
    <row r="1612" spans="1:16">
      <c r="A1612" s="1" t="str">
        <f t="shared" si="532"/>
        <v>20200605</v>
      </c>
      <c r="B1612" s="1"/>
      <c r="C1612" s="1"/>
      <c r="D1612" s="1" t="str">
        <f>"偿还融资利息"</f>
        <v>偿还融资利息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-37.37</v>
      </c>
      <c r="O1612" s="1">
        <v>19961.2</v>
      </c>
      <c r="P1612" s="1">
        <v>0</v>
      </c>
    </row>
    <row r="1613" spans="1:16">
      <c r="A1613" s="1" t="str">
        <f t="shared" si="532"/>
        <v>20200605</v>
      </c>
      <c r="B1613" s="1"/>
      <c r="C1613" s="1"/>
      <c r="D1613" s="1" t="str">
        <f>"偿还融资负债本金"</f>
        <v>偿还融资负债本金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-7424.1</v>
      </c>
      <c r="O1613" s="1">
        <v>12537.1</v>
      </c>
      <c r="P1613" s="1">
        <v>0</v>
      </c>
    </row>
    <row r="1614" spans="1:16">
      <c r="A1614" s="1" t="str">
        <f t="shared" ref="A1614:A1622" si="533">"20200608"</f>
        <v>20200608</v>
      </c>
      <c r="B1614" s="1" t="str">
        <f>"000543"</f>
        <v>000543</v>
      </c>
      <c r="C1614" s="1" t="str">
        <f>"皖能电力"</f>
        <v>皖能电力</v>
      </c>
      <c r="D1614" s="1" t="str">
        <f>"卖券还款"</f>
        <v>卖券还款</v>
      </c>
      <c r="E1614" s="1">
        <v>3.98</v>
      </c>
      <c r="F1614" s="1">
        <v>3000</v>
      </c>
      <c r="G1614" s="1">
        <v>11940</v>
      </c>
      <c r="H1614" s="1">
        <v>5.97</v>
      </c>
      <c r="I1614" s="1">
        <v>4.91</v>
      </c>
      <c r="J1614" s="1">
        <v>11.94</v>
      </c>
      <c r="K1614" s="1">
        <v>0</v>
      </c>
      <c r="L1614" s="1">
        <v>0</v>
      </c>
      <c r="M1614" s="1">
        <v>0</v>
      </c>
      <c r="N1614" s="1">
        <v>11922.09</v>
      </c>
      <c r="O1614" s="1">
        <v>24459.19</v>
      </c>
      <c r="P1614" s="1">
        <v>22000</v>
      </c>
    </row>
    <row r="1615" spans="1:16">
      <c r="A1615" s="1" t="str">
        <f t="shared" si="533"/>
        <v>20200608</v>
      </c>
      <c r="B1615" s="1" t="str">
        <f>"603707"</f>
        <v>603707</v>
      </c>
      <c r="C1615" s="1" t="str">
        <f>"健友股份"</f>
        <v>健友股份</v>
      </c>
      <c r="D1615" s="1" t="str">
        <f>"买券还券"</f>
        <v>买券还券</v>
      </c>
      <c r="E1615" s="1">
        <v>59.935</v>
      </c>
      <c r="F1615" s="1">
        <v>200</v>
      </c>
      <c r="G1615" s="1">
        <v>11987</v>
      </c>
      <c r="H1615" s="1">
        <v>5.99</v>
      </c>
      <c r="I1615" s="1">
        <v>5.17</v>
      </c>
      <c r="J1615" s="1">
        <v>0</v>
      </c>
      <c r="K1615" s="1">
        <v>0.24</v>
      </c>
      <c r="L1615" s="1">
        <v>0</v>
      </c>
      <c r="M1615" s="1">
        <v>0</v>
      </c>
      <c r="N1615" s="1">
        <v>-11993.23</v>
      </c>
      <c r="O1615" s="1">
        <v>12465.96</v>
      </c>
      <c r="P1615" s="1">
        <v>200</v>
      </c>
    </row>
    <row r="1616" spans="1:16">
      <c r="A1616" s="1" t="str">
        <f t="shared" si="533"/>
        <v>20200608</v>
      </c>
      <c r="B1616" s="1" t="str">
        <f>"603707"</f>
        <v>603707</v>
      </c>
      <c r="C1616" s="1" t="str">
        <f>"健友股份"</f>
        <v>健友股份</v>
      </c>
      <c r="D1616" s="1" t="str">
        <f>"偿还融券负债"</f>
        <v>偿还融券负债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</row>
    <row r="1617" spans="1:16">
      <c r="A1617" s="1" t="str">
        <f t="shared" si="533"/>
        <v>20200608</v>
      </c>
      <c r="B1617" s="1"/>
      <c r="C1617" s="1"/>
      <c r="D1617" s="1" t="str">
        <f t="shared" ref="D1617:D1622" si="534">"偿还融资负债本金"</f>
        <v>偿还融资负债本金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-300</v>
      </c>
      <c r="O1617" s="1">
        <v>12165.96</v>
      </c>
      <c r="P1617" s="1">
        <v>0</v>
      </c>
    </row>
    <row r="1618" spans="1:16">
      <c r="A1618" s="1" t="str">
        <f t="shared" si="533"/>
        <v>20200608</v>
      </c>
      <c r="B1618" s="1"/>
      <c r="C1618" s="1"/>
      <c r="D1618" s="1" t="str">
        <f>"偿还融券费用"</f>
        <v>偿还融券费用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-8.49</v>
      </c>
      <c r="O1618" s="1">
        <v>12157.47</v>
      </c>
      <c r="P1618" s="1">
        <v>0</v>
      </c>
    </row>
    <row r="1619" spans="1:16">
      <c r="A1619" s="1" t="str">
        <f t="shared" si="533"/>
        <v>20200608</v>
      </c>
      <c r="B1619" s="1"/>
      <c r="C1619" s="1"/>
      <c r="D1619" s="1" t="str">
        <f>"偿还融资利息"</f>
        <v>偿还融资利息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-2.32</v>
      </c>
      <c r="O1619" s="1">
        <v>12155.15</v>
      </c>
      <c r="P1619" s="1">
        <v>0</v>
      </c>
    </row>
    <row r="1620" spans="1:16">
      <c r="A1620" s="1" t="str">
        <f t="shared" si="533"/>
        <v>20200608</v>
      </c>
      <c r="B1620" s="1"/>
      <c r="C1620" s="1"/>
      <c r="D1620" s="1" t="str">
        <f t="shared" si="534"/>
        <v>偿还融资负债本金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-3331.28</v>
      </c>
      <c r="O1620" s="1">
        <v>8823.87</v>
      </c>
      <c r="P1620" s="1">
        <v>0</v>
      </c>
    </row>
    <row r="1621" spans="1:16">
      <c r="A1621" s="1" t="str">
        <f t="shared" si="533"/>
        <v>20200608</v>
      </c>
      <c r="B1621" s="1"/>
      <c r="C1621" s="1"/>
      <c r="D1621" s="1" t="str">
        <f>"偿还融资利息"</f>
        <v>偿还融资利息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-50.04</v>
      </c>
      <c r="O1621" s="1">
        <v>8773.83</v>
      </c>
      <c r="P1621" s="1">
        <v>0</v>
      </c>
    </row>
    <row r="1622" spans="1:16">
      <c r="A1622" s="1" t="str">
        <f t="shared" si="533"/>
        <v>20200608</v>
      </c>
      <c r="B1622" s="1"/>
      <c r="C1622" s="1"/>
      <c r="D1622" s="1" t="str">
        <f t="shared" si="534"/>
        <v>偿还融资负债本金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-8500.11</v>
      </c>
      <c r="O1622" s="1">
        <v>273.72</v>
      </c>
      <c r="P1622" s="1">
        <v>0</v>
      </c>
    </row>
    <row r="1623" spans="1:16">
      <c r="A1623" s="1" t="str">
        <f t="shared" ref="A1623:A1625" si="535">"20200609"</f>
        <v>20200609</v>
      </c>
      <c r="B1623" s="1" t="str">
        <f>"600028"</f>
        <v>600028</v>
      </c>
      <c r="C1623" s="1" t="str">
        <f>"中国石化"</f>
        <v>中国石化</v>
      </c>
      <c r="D1623" s="1" t="str">
        <f>"红利入账"</f>
        <v>红利入账</v>
      </c>
      <c r="E1623" s="1">
        <v>0</v>
      </c>
      <c r="F1623" s="1">
        <v>7700</v>
      </c>
      <c r="G1623" s="1">
        <v>1463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1463</v>
      </c>
      <c r="O1623" s="1">
        <v>1736.72</v>
      </c>
      <c r="P1623" s="1">
        <v>0</v>
      </c>
    </row>
    <row r="1624" spans="1:16">
      <c r="A1624" s="1" t="str">
        <f t="shared" si="535"/>
        <v>20200609</v>
      </c>
      <c r="B1624" s="1" t="str">
        <f>"002183"</f>
        <v>002183</v>
      </c>
      <c r="C1624" s="1" t="str">
        <f>"怡 亚 通"</f>
        <v>怡 亚 通</v>
      </c>
      <c r="D1624" s="1" t="str">
        <f t="shared" ref="D1624:D1627" si="536">"融资买入"</f>
        <v>融资买入</v>
      </c>
      <c r="E1624" s="1">
        <v>4.95</v>
      </c>
      <c r="F1624" s="1">
        <v>2500</v>
      </c>
      <c r="G1624" s="1">
        <v>12375</v>
      </c>
      <c r="H1624" s="1">
        <v>6.19</v>
      </c>
      <c r="I1624" s="1">
        <v>5.09</v>
      </c>
      <c r="J1624" s="1">
        <v>0</v>
      </c>
      <c r="K1624" s="1">
        <v>0</v>
      </c>
      <c r="L1624" s="1">
        <v>0</v>
      </c>
      <c r="M1624" s="1">
        <v>0</v>
      </c>
      <c r="N1624" s="1">
        <v>-12381.19</v>
      </c>
      <c r="O1624" s="1">
        <v>-10644.47</v>
      </c>
      <c r="P1624" s="1">
        <v>15000</v>
      </c>
    </row>
    <row r="1625" spans="1:16">
      <c r="A1625" s="1" t="str">
        <f t="shared" si="535"/>
        <v>20200609</v>
      </c>
      <c r="B1625" s="1"/>
      <c r="C1625" s="1"/>
      <c r="D1625" s="1" t="str">
        <f t="shared" ref="D1625:D1629" si="537">"融资借入"</f>
        <v>融资借入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12381.19</v>
      </c>
      <c r="O1625" s="1">
        <v>1736.72</v>
      </c>
      <c r="P1625" s="1">
        <v>0</v>
      </c>
    </row>
    <row r="1626" spans="1:16">
      <c r="A1626" s="1" t="str">
        <f t="shared" ref="A1626:A1629" si="538">"20200610"</f>
        <v>20200610</v>
      </c>
      <c r="B1626" s="1" t="str">
        <f>"600028"</f>
        <v>600028</v>
      </c>
      <c r="C1626" s="1" t="str">
        <f>"XD中国石"</f>
        <v>XD中国石</v>
      </c>
      <c r="D1626" s="1" t="str">
        <f t="shared" si="536"/>
        <v>融资买入</v>
      </c>
      <c r="E1626" s="1">
        <v>4.09</v>
      </c>
      <c r="F1626" s="1">
        <v>8000</v>
      </c>
      <c r="G1626" s="1">
        <v>32720</v>
      </c>
      <c r="H1626" s="1">
        <v>16.36</v>
      </c>
      <c r="I1626" s="1">
        <v>14.12</v>
      </c>
      <c r="J1626" s="1">
        <v>0</v>
      </c>
      <c r="K1626" s="1">
        <v>0.65</v>
      </c>
      <c r="L1626" s="1">
        <v>0</v>
      </c>
      <c r="M1626" s="1">
        <v>0</v>
      </c>
      <c r="N1626" s="1">
        <v>-32737.01</v>
      </c>
      <c r="O1626" s="1">
        <v>-31000.29</v>
      </c>
      <c r="P1626" s="1">
        <v>15700</v>
      </c>
    </row>
    <row r="1627" spans="1:16">
      <c r="A1627" s="1" t="str">
        <f t="shared" si="538"/>
        <v>20200610</v>
      </c>
      <c r="B1627" s="1" t="str">
        <f>"002183"</f>
        <v>002183</v>
      </c>
      <c r="C1627" s="1" t="str">
        <f>"怡 亚 通"</f>
        <v>怡 亚 通</v>
      </c>
      <c r="D1627" s="1" t="str">
        <f t="shared" si="536"/>
        <v>融资买入</v>
      </c>
      <c r="E1627" s="1">
        <v>4.79</v>
      </c>
      <c r="F1627" s="1">
        <v>2500</v>
      </c>
      <c r="G1627" s="1">
        <v>11975</v>
      </c>
      <c r="H1627" s="1">
        <v>5.99</v>
      </c>
      <c r="I1627" s="1">
        <v>4.92</v>
      </c>
      <c r="J1627" s="1">
        <v>0</v>
      </c>
      <c r="K1627" s="1">
        <v>0</v>
      </c>
      <c r="L1627" s="1">
        <v>0</v>
      </c>
      <c r="M1627" s="1">
        <v>0</v>
      </c>
      <c r="N1627" s="1">
        <v>-11980.99</v>
      </c>
      <c r="O1627" s="1">
        <v>-42981.28</v>
      </c>
      <c r="P1627" s="1">
        <v>17500</v>
      </c>
    </row>
    <row r="1628" spans="1:16">
      <c r="A1628" s="1" t="str">
        <f t="shared" si="538"/>
        <v>20200610</v>
      </c>
      <c r="B1628" s="1"/>
      <c r="C1628" s="1"/>
      <c r="D1628" s="1" t="str">
        <f t="shared" si="537"/>
        <v>融资借入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32737.01</v>
      </c>
      <c r="O1628" s="1">
        <v>-10244.27</v>
      </c>
      <c r="P1628" s="1">
        <v>0</v>
      </c>
    </row>
    <row r="1629" spans="1:16">
      <c r="A1629" s="1" t="str">
        <f t="shared" si="538"/>
        <v>20200610</v>
      </c>
      <c r="B1629" s="1"/>
      <c r="C1629" s="1"/>
      <c r="D1629" s="1" t="str">
        <f t="shared" si="537"/>
        <v>融资借入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11980.99</v>
      </c>
      <c r="O1629" s="1">
        <v>1736.72</v>
      </c>
      <c r="P1629" s="1">
        <v>0</v>
      </c>
    </row>
    <row r="1630" spans="1:16">
      <c r="A1630" s="1" t="str">
        <f>"20200612"</f>
        <v>20200612</v>
      </c>
      <c r="B1630" s="1" t="str">
        <f>"000543"</f>
        <v>000543</v>
      </c>
      <c r="C1630" s="1" t="str">
        <f>"皖能电力"</f>
        <v>皖能电力</v>
      </c>
      <c r="D1630" s="1" t="str">
        <f>"融资买入"</f>
        <v>融资买入</v>
      </c>
      <c r="E1630" s="1">
        <v>3.92</v>
      </c>
      <c r="F1630" s="1">
        <v>3000</v>
      </c>
      <c r="G1630" s="1">
        <v>11760</v>
      </c>
      <c r="H1630" s="1">
        <v>5.88</v>
      </c>
      <c r="I1630" s="1">
        <v>4.83</v>
      </c>
      <c r="J1630" s="1">
        <v>0</v>
      </c>
      <c r="K1630" s="1">
        <v>0</v>
      </c>
      <c r="L1630" s="1">
        <v>0</v>
      </c>
      <c r="M1630" s="1">
        <v>0</v>
      </c>
      <c r="N1630" s="1">
        <v>-11765.88</v>
      </c>
      <c r="O1630" s="1">
        <v>-10029.16</v>
      </c>
      <c r="P1630" s="1">
        <v>25000</v>
      </c>
    </row>
    <row r="1631" spans="1:16">
      <c r="A1631" s="1" t="str">
        <f>"20200612"</f>
        <v>20200612</v>
      </c>
      <c r="B1631" s="1"/>
      <c r="C1631" s="1"/>
      <c r="D1631" s="1" t="str">
        <f>"融资借入"</f>
        <v>融资借入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11765.88</v>
      </c>
      <c r="O1631" s="1">
        <v>1736.72</v>
      </c>
      <c r="P1631" s="1">
        <v>0</v>
      </c>
    </row>
    <row r="1632" spans="1:16">
      <c r="A1632" s="1" t="str">
        <f t="shared" ref="A1632:A1638" si="539">"20200616"</f>
        <v>20200616</v>
      </c>
      <c r="B1632" s="1" t="str">
        <f>"600362"</f>
        <v>600362</v>
      </c>
      <c r="C1632" s="1" t="str">
        <f>"江西铜业"</f>
        <v>江西铜业</v>
      </c>
      <c r="D1632" s="1" t="str">
        <f>"融资买入"</f>
        <v>融资买入</v>
      </c>
      <c r="E1632" s="1">
        <v>13.07</v>
      </c>
      <c r="F1632" s="1">
        <v>1000</v>
      </c>
      <c r="G1632" s="1">
        <v>13070</v>
      </c>
      <c r="H1632" s="1">
        <v>6.54</v>
      </c>
      <c r="I1632" s="1">
        <v>5.64</v>
      </c>
      <c r="J1632" s="1">
        <v>0</v>
      </c>
      <c r="K1632" s="1">
        <v>0.26</v>
      </c>
      <c r="L1632" s="1">
        <v>0</v>
      </c>
      <c r="M1632" s="1">
        <v>0</v>
      </c>
      <c r="N1632" s="1">
        <v>-13076.8</v>
      </c>
      <c r="O1632" s="1">
        <v>-11340.08</v>
      </c>
      <c r="P1632" s="1">
        <v>1000</v>
      </c>
    </row>
    <row r="1633" spans="1:16">
      <c r="A1633" s="1" t="str">
        <f t="shared" si="539"/>
        <v>20200616</v>
      </c>
      <c r="B1633" s="1" t="str">
        <f>"002183"</f>
        <v>002183</v>
      </c>
      <c r="C1633" s="1" t="str">
        <f>"怡 亚 通"</f>
        <v>怡 亚 通</v>
      </c>
      <c r="D1633" s="1" t="str">
        <f>"卖券还款"</f>
        <v>卖券还款</v>
      </c>
      <c r="E1633" s="1">
        <v>5.02</v>
      </c>
      <c r="F1633" s="1">
        <v>2500</v>
      </c>
      <c r="G1633" s="1">
        <v>12550</v>
      </c>
      <c r="H1633" s="1">
        <v>6.28</v>
      </c>
      <c r="I1633" s="1">
        <v>5.17</v>
      </c>
      <c r="J1633" s="1">
        <v>12.55</v>
      </c>
      <c r="K1633" s="1">
        <v>0</v>
      </c>
      <c r="L1633" s="1">
        <v>0</v>
      </c>
      <c r="M1633" s="1">
        <v>0</v>
      </c>
      <c r="N1633" s="1">
        <v>12531.17</v>
      </c>
      <c r="O1633" s="1">
        <v>1191.09</v>
      </c>
      <c r="P1633" s="1">
        <v>15000</v>
      </c>
    </row>
    <row r="1634" spans="1:16">
      <c r="A1634" s="1" t="str">
        <f t="shared" si="539"/>
        <v>20200616</v>
      </c>
      <c r="B1634" s="1"/>
      <c r="C1634" s="1"/>
      <c r="D1634" s="1" t="str">
        <f>"融资借入"</f>
        <v>融资借入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13076.8</v>
      </c>
      <c r="O1634" s="1">
        <v>14267.89</v>
      </c>
      <c r="P1634" s="1">
        <v>0</v>
      </c>
    </row>
    <row r="1635" spans="1:16">
      <c r="A1635" s="1" t="str">
        <f t="shared" si="539"/>
        <v>20200616</v>
      </c>
      <c r="B1635" s="1"/>
      <c r="C1635" s="1"/>
      <c r="D1635" s="1" t="str">
        <f>"偿还融资利息"</f>
        <v>偿还融资利息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-5.91</v>
      </c>
      <c r="O1635" s="1">
        <v>14261.98</v>
      </c>
      <c r="P1635" s="1">
        <v>0</v>
      </c>
    </row>
    <row r="1636" spans="1:16">
      <c r="A1636" s="1" t="str">
        <f t="shared" si="539"/>
        <v>20200616</v>
      </c>
      <c r="B1636" s="1"/>
      <c r="C1636" s="1"/>
      <c r="D1636" s="1" t="str">
        <f>"偿还融资负债本金"</f>
        <v>偿还融资负债本金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-3175.88</v>
      </c>
      <c r="O1636" s="1">
        <v>11086.1</v>
      </c>
      <c r="P1636" s="1">
        <v>0</v>
      </c>
    </row>
    <row r="1637" spans="1:16">
      <c r="A1637" s="1" t="str">
        <f t="shared" si="539"/>
        <v>20200616</v>
      </c>
      <c r="B1637" s="1"/>
      <c r="C1637" s="1"/>
      <c r="D1637" s="1" t="str">
        <f>"偿还融资利息"</f>
        <v>偿还融资利息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-70.98</v>
      </c>
      <c r="O1637" s="1">
        <v>11015.12</v>
      </c>
      <c r="P1637" s="1">
        <v>0</v>
      </c>
    </row>
    <row r="1638" spans="1:16">
      <c r="A1638" s="1" t="str">
        <f t="shared" si="539"/>
        <v>20200616</v>
      </c>
      <c r="B1638" s="1"/>
      <c r="C1638" s="1"/>
      <c r="D1638" s="1" t="str">
        <f>"偿还融资负债本金"</f>
        <v>偿还融资负债本金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-9247.03</v>
      </c>
      <c r="O1638" s="1">
        <v>1768.09</v>
      </c>
      <c r="P1638" s="1">
        <v>0</v>
      </c>
    </row>
    <row r="1639" spans="1:16">
      <c r="A1639" s="1" t="str">
        <f t="shared" ref="A1639:A1645" si="540">"20200617"</f>
        <v>20200617</v>
      </c>
      <c r="B1639" s="1" t="str">
        <f>"002183"</f>
        <v>002183</v>
      </c>
      <c r="C1639" s="1" t="str">
        <f>"怡 亚 通"</f>
        <v>怡 亚 通</v>
      </c>
      <c r="D1639" s="1" t="str">
        <f>"卖券还款"</f>
        <v>卖券还款</v>
      </c>
      <c r="E1639" s="1">
        <v>5.25</v>
      </c>
      <c r="F1639" s="1">
        <v>2500</v>
      </c>
      <c r="G1639" s="1">
        <v>13125</v>
      </c>
      <c r="H1639" s="1">
        <v>6.56</v>
      </c>
      <c r="I1639" s="1">
        <v>5.4</v>
      </c>
      <c r="J1639" s="1">
        <v>13.13</v>
      </c>
      <c r="K1639" s="1">
        <v>0</v>
      </c>
      <c r="L1639" s="1">
        <v>0</v>
      </c>
      <c r="M1639" s="1">
        <v>0</v>
      </c>
      <c r="N1639" s="1">
        <v>13105.31</v>
      </c>
      <c r="O1639" s="1">
        <v>14873.4</v>
      </c>
      <c r="P1639" s="1">
        <v>12500</v>
      </c>
    </row>
    <row r="1640" spans="1:16">
      <c r="A1640" s="1" t="str">
        <f t="shared" si="540"/>
        <v>20200617</v>
      </c>
      <c r="B1640" s="1" t="str">
        <f>"600362"</f>
        <v>600362</v>
      </c>
      <c r="C1640" s="1" t="str">
        <f>"江西铜业"</f>
        <v>江西铜业</v>
      </c>
      <c r="D1640" s="1" t="str">
        <f>"融资买入"</f>
        <v>融资买入</v>
      </c>
      <c r="E1640" s="1">
        <v>13.04</v>
      </c>
      <c r="F1640" s="1">
        <v>1000</v>
      </c>
      <c r="G1640" s="1">
        <v>13040</v>
      </c>
      <c r="H1640" s="1">
        <v>6.52</v>
      </c>
      <c r="I1640" s="1">
        <v>5.62</v>
      </c>
      <c r="J1640" s="1">
        <v>0</v>
      </c>
      <c r="K1640" s="1">
        <v>0.26</v>
      </c>
      <c r="L1640" s="1">
        <v>0</v>
      </c>
      <c r="M1640" s="1">
        <v>0</v>
      </c>
      <c r="N1640" s="1">
        <v>-13046.78</v>
      </c>
      <c r="O1640" s="1">
        <v>1826.62</v>
      </c>
      <c r="P1640" s="1">
        <v>2000</v>
      </c>
    </row>
    <row r="1641" spans="1:16">
      <c r="A1641" s="1" t="str">
        <f t="shared" si="540"/>
        <v>20200617</v>
      </c>
      <c r="B1641" s="1"/>
      <c r="C1641" s="1"/>
      <c r="D1641" s="1" t="str">
        <f>"融资借入"</f>
        <v>融资借入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13046.78</v>
      </c>
      <c r="O1641" s="1">
        <v>14873.4</v>
      </c>
      <c r="P1641" s="1">
        <v>0</v>
      </c>
    </row>
    <row r="1642" spans="1:16">
      <c r="A1642" s="1" t="str">
        <f t="shared" si="540"/>
        <v>20200617</v>
      </c>
      <c r="B1642" s="1"/>
      <c r="C1642" s="1"/>
      <c r="D1642" s="1" t="str">
        <f>"偿还融资利息"</f>
        <v>偿还融资利息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-0.58</v>
      </c>
      <c r="O1642" s="1">
        <v>14872.82</v>
      </c>
      <c r="P1642" s="1">
        <v>0</v>
      </c>
    </row>
    <row r="1643" spans="1:16">
      <c r="A1643" s="1" t="str">
        <f t="shared" si="540"/>
        <v>20200617</v>
      </c>
      <c r="B1643" s="1"/>
      <c r="C1643" s="1"/>
      <c r="D1643" s="1" t="str">
        <f>"偿还融资负债本金"</f>
        <v>偿还融资负债本金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-2518.85</v>
      </c>
      <c r="O1643" s="1">
        <v>12353.97</v>
      </c>
      <c r="P1643" s="1">
        <v>0</v>
      </c>
    </row>
    <row r="1644" spans="1:16">
      <c r="A1644" s="1" t="str">
        <f t="shared" si="540"/>
        <v>20200617</v>
      </c>
      <c r="B1644" s="1"/>
      <c r="C1644" s="1"/>
      <c r="D1644" s="1" t="str">
        <f>"偿还融资利息"</f>
        <v>偿还融资利息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-80.77</v>
      </c>
      <c r="O1644" s="1">
        <v>12273.2</v>
      </c>
      <c r="P1644" s="1">
        <v>0</v>
      </c>
    </row>
    <row r="1645" spans="1:16">
      <c r="A1645" s="1" t="str">
        <f t="shared" si="540"/>
        <v>20200617</v>
      </c>
      <c r="B1645" s="1"/>
      <c r="C1645" s="1"/>
      <c r="D1645" s="1" t="str">
        <f>"偿还融资负债本金"</f>
        <v>偿还融资负债本金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-10472.29</v>
      </c>
      <c r="O1645" s="1">
        <v>1800.91</v>
      </c>
      <c r="P1645" s="1">
        <v>0</v>
      </c>
    </row>
    <row r="1646" spans="1:16">
      <c r="A1646" s="1" t="str">
        <f t="shared" ref="A1646:A1653" si="541">"20200618"</f>
        <v>20200618</v>
      </c>
      <c r="B1646" s="1"/>
      <c r="C1646" s="1"/>
      <c r="D1646" s="1" t="str">
        <f>"证券转银行"</f>
        <v>证券转银行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-1800</v>
      </c>
      <c r="O1646" s="1">
        <v>0.91</v>
      </c>
      <c r="P1646" s="1">
        <v>0</v>
      </c>
    </row>
    <row r="1647" spans="1:16">
      <c r="A1647" s="1" t="str">
        <f t="shared" si="541"/>
        <v>20200618</v>
      </c>
      <c r="B1647" s="1" t="str">
        <f>"600362"</f>
        <v>600362</v>
      </c>
      <c r="C1647" s="1" t="str">
        <f>"江西铜业"</f>
        <v>江西铜业</v>
      </c>
      <c r="D1647" s="1" t="str">
        <f>"卖券还款"</f>
        <v>卖券还款</v>
      </c>
      <c r="E1647" s="1">
        <v>13.16</v>
      </c>
      <c r="F1647" s="1">
        <v>2000</v>
      </c>
      <c r="G1647" s="1">
        <v>26320</v>
      </c>
      <c r="H1647" s="1">
        <v>13.16</v>
      </c>
      <c r="I1647" s="1">
        <v>11.35</v>
      </c>
      <c r="J1647" s="1">
        <v>26.32</v>
      </c>
      <c r="K1647" s="1">
        <v>0.53</v>
      </c>
      <c r="L1647" s="1">
        <v>0</v>
      </c>
      <c r="M1647" s="1">
        <v>0</v>
      </c>
      <c r="N1647" s="1">
        <v>26279.99</v>
      </c>
      <c r="O1647" s="1">
        <v>26280.9</v>
      </c>
      <c r="P1647" s="1">
        <v>0</v>
      </c>
    </row>
    <row r="1648" spans="1:16">
      <c r="A1648" s="1" t="str">
        <f t="shared" si="541"/>
        <v>20200618</v>
      </c>
      <c r="B1648" s="1"/>
      <c r="C1648" s="1"/>
      <c r="D1648" s="1" t="str">
        <f t="shared" ref="D1648:D1652" si="542">"偿还融资利息"</f>
        <v>偿还融资利息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-0.56</v>
      </c>
      <c r="O1648" s="1">
        <v>26280.34</v>
      </c>
      <c r="P1648" s="1">
        <v>0</v>
      </c>
    </row>
    <row r="1649" spans="1:16">
      <c r="A1649" s="1" t="str">
        <f t="shared" si="541"/>
        <v>20200618</v>
      </c>
      <c r="B1649" s="1"/>
      <c r="C1649" s="1"/>
      <c r="D1649" s="1" t="str">
        <f t="shared" ref="D1649:D1653" si="543">"偿还融资负债本金"</f>
        <v>偿还融资负债本金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-2434.42</v>
      </c>
      <c r="O1649" s="1">
        <v>23845.92</v>
      </c>
      <c r="P1649" s="1">
        <v>0</v>
      </c>
    </row>
    <row r="1650" spans="1:16">
      <c r="A1650" s="1" t="str">
        <f t="shared" si="541"/>
        <v>20200618</v>
      </c>
      <c r="B1650" s="1"/>
      <c r="C1650" s="1"/>
      <c r="D1650" s="1" t="str">
        <f t="shared" si="542"/>
        <v>偿还融资利息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-75.28</v>
      </c>
      <c r="O1650" s="1">
        <v>23770.64</v>
      </c>
      <c r="P1650" s="1">
        <v>0</v>
      </c>
    </row>
    <row r="1651" spans="1:16">
      <c r="A1651" s="1" t="str">
        <f t="shared" si="541"/>
        <v>20200618</v>
      </c>
      <c r="B1651" s="1"/>
      <c r="C1651" s="1"/>
      <c r="D1651" s="1" t="str">
        <f t="shared" si="543"/>
        <v>偿还融资负债本金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-11585.79</v>
      </c>
      <c r="O1651" s="1">
        <v>12184.85</v>
      </c>
      <c r="P1651" s="1">
        <v>0</v>
      </c>
    </row>
    <row r="1652" spans="1:16">
      <c r="A1652" s="1" t="str">
        <f t="shared" si="541"/>
        <v>20200618</v>
      </c>
      <c r="B1652" s="1"/>
      <c r="C1652" s="1"/>
      <c r="D1652" s="1" t="str">
        <f t="shared" si="542"/>
        <v>偿还融资利息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-61.74</v>
      </c>
      <c r="O1652" s="1">
        <v>12123.11</v>
      </c>
      <c r="P1652" s="1">
        <v>0</v>
      </c>
    </row>
    <row r="1653" spans="1:16">
      <c r="A1653" s="1" t="str">
        <f t="shared" si="541"/>
        <v>20200618</v>
      </c>
      <c r="B1653" s="1"/>
      <c r="C1653" s="1"/>
      <c r="D1653" s="1" t="str">
        <f t="shared" si="543"/>
        <v>偿还融资负债本金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-12056.4</v>
      </c>
      <c r="O1653" s="1">
        <v>66.71</v>
      </c>
      <c r="P1653" s="1">
        <v>0</v>
      </c>
    </row>
    <row r="1654" spans="1:16">
      <c r="A1654" s="1" t="str">
        <f t="shared" ref="A1654:A1659" si="544">"20200619"</f>
        <v>20200619</v>
      </c>
      <c r="B1654" s="1"/>
      <c r="C1654" s="1"/>
      <c r="D1654" s="1" t="str">
        <f>"利息归本"</f>
        <v>利息归本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2.64</v>
      </c>
      <c r="O1654" s="1">
        <v>69.35</v>
      </c>
      <c r="P1654" s="1">
        <v>0</v>
      </c>
    </row>
    <row r="1655" spans="1:16">
      <c r="A1655" s="1" t="str">
        <f t="shared" si="544"/>
        <v>20200619</v>
      </c>
      <c r="B1655" s="1" t="str">
        <f>"600362"</f>
        <v>600362</v>
      </c>
      <c r="C1655" s="1" t="str">
        <f>"江西铜业"</f>
        <v>江西铜业</v>
      </c>
      <c r="D1655" s="1" t="str">
        <f>"融资买入"</f>
        <v>融资买入</v>
      </c>
      <c r="E1655" s="1">
        <v>13.28</v>
      </c>
      <c r="F1655" s="1">
        <v>1000</v>
      </c>
      <c r="G1655" s="1">
        <v>13280</v>
      </c>
      <c r="H1655" s="1">
        <v>6.64</v>
      </c>
      <c r="I1655" s="1">
        <v>5.72</v>
      </c>
      <c r="J1655" s="1">
        <v>0</v>
      </c>
      <c r="K1655" s="1">
        <v>0.27</v>
      </c>
      <c r="L1655" s="1">
        <v>0</v>
      </c>
      <c r="M1655" s="1">
        <v>0</v>
      </c>
      <c r="N1655" s="1">
        <v>-13286.91</v>
      </c>
      <c r="O1655" s="1">
        <v>-13217.56</v>
      </c>
      <c r="P1655" s="1">
        <v>1000</v>
      </c>
    </row>
    <row r="1656" spans="1:16">
      <c r="A1656" s="1" t="str">
        <f t="shared" si="544"/>
        <v>20200619</v>
      </c>
      <c r="B1656" s="1"/>
      <c r="C1656" s="1"/>
      <c r="D1656" s="1" t="str">
        <f>"融资借入"</f>
        <v>融资借入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13286.91</v>
      </c>
      <c r="O1656" s="1">
        <v>69.35</v>
      </c>
      <c r="P1656" s="1">
        <v>0</v>
      </c>
    </row>
    <row r="1657" spans="1:16">
      <c r="A1657" s="1" t="str">
        <f t="shared" si="544"/>
        <v>20200619</v>
      </c>
      <c r="B1657" s="1"/>
      <c r="C1657" s="1"/>
      <c r="D1657" s="1" t="str">
        <f t="shared" ref="D1657:D1659" si="545">"偿还融资利息"</f>
        <v>偿还融资利息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-0.28</v>
      </c>
      <c r="O1657" s="1">
        <v>69.07</v>
      </c>
      <c r="P1657" s="1">
        <v>0</v>
      </c>
    </row>
    <row r="1658" spans="1:16">
      <c r="A1658" s="1" t="str">
        <f t="shared" si="544"/>
        <v>20200619</v>
      </c>
      <c r="B1658" s="1"/>
      <c r="C1658" s="1"/>
      <c r="D1658" s="1" t="str">
        <f t="shared" si="545"/>
        <v>偿还融资利息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-47.82</v>
      </c>
      <c r="O1658" s="1">
        <v>21.25</v>
      </c>
      <c r="P1658" s="1">
        <v>0</v>
      </c>
    </row>
    <row r="1659" spans="1:16">
      <c r="A1659" s="1" t="str">
        <f t="shared" si="544"/>
        <v>20200619</v>
      </c>
      <c r="B1659" s="1"/>
      <c r="C1659" s="1"/>
      <c r="D1659" s="1" t="str">
        <f t="shared" si="545"/>
        <v>偿还融资利息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-21.25</v>
      </c>
      <c r="O1659" s="1">
        <v>0</v>
      </c>
      <c r="P1659" s="1">
        <v>0</v>
      </c>
    </row>
    <row r="1660" spans="1:16">
      <c r="A1660" s="1" t="str">
        <f t="shared" ref="A1660:A1664" si="546">"20200622"</f>
        <v>20200622</v>
      </c>
      <c r="B1660" s="1" t="str">
        <f>"000543"</f>
        <v>000543</v>
      </c>
      <c r="C1660" s="1" t="str">
        <f>"皖能电力"</f>
        <v>皖能电力</v>
      </c>
      <c r="D1660" s="1" t="str">
        <f>"卖券还款"</f>
        <v>卖券还款</v>
      </c>
      <c r="E1660" s="1">
        <v>4.04</v>
      </c>
      <c r="F1660" s="1">
        <v>3000</v>
      </c>
      <c r="G1660" s="1">
        <v>12120</v>
      </c>
      <c r="H1660" s="1">
        <v>6.06</v>
      </c>
      <c r="I1660" s="1">
        <v>4.99</v>
      </c>
      <c r="J1660" s="1">
        <v>12.12</v>
      </c>
      <c r="K1660" s="1">
        <v>0</v>
      </c>
      <c r="L1660" s="1">
        <v>0</v>
      </c>
      <c r="M1660" s="1">
        <v>0</v>
      </c>
      <c r="N1660" s="1">
        <v>12101.82</v>
      </c>
      <c r="O1660" s="1">
        <v>12101.82</v>
      </c>
      <c r="P1660" s="1">
        <v>22000</v>
      </c>
    </row>
    <row r="1661" spans="1:16">
      <c r="A1661" s="1" t="str">
        <f t="shared" si="546"/>
        <v>20200622</v>
      </c>
      <c r="B1661" s="1"/>
      <c r="C1661" s="1"/>
      <c r="D1661" s="1" t="str">
        <f>"偿还融资利息"</f>
        <v>偿还融资利息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-0.28</v>
      </c>
      <c r="O1661" s="1">
        <v>12101.54</v>
      </c>
      <c r="P1661" s="1">
        <v>0</v>
      </c>
    </row>
    <row r="1662" spans="1:16">
      <c r="A1662" s="1" t="str">
        <f t="shared" si="546"/>
        <v>20200622</v>
      </c>
      <c r="B1662" s="1"/>
      <c r="C1662" s="1"/>
      <c r="D1662" s="1" t="str">
        <f>"偿还融资负债本金"</f>
        <v>偿还融资负债本金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-610.18</v>
      </c>
      <c r="O1662" s="1">
        <v>11491.36</v>
      </c>
      <c r="P1662" s="1">
        <v>0</v>
      </c>
    </row>
    <row r="1663" spans="1:16">
      <c r="A1663" s="1" t="str">
        <f t="shared" si="546"/>
        <v>20200622</v>
      </c>
      <c r="B1663" s="1"/>
      <c r="C1663" s="1"/>
      <c r="D1663" s="1" t="str">
        <f>"偿还融资利息"</f>
        <v>偿还融资利息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-5.97</v>
      </c>
      <c r="O1663" s="1">
        <v>11485.39</v>
      </c>
      <c r="P1663" s="1">
        <v>0</v>
      </c>
    </row>
    <row r="1664" spans="1:16">
      <c r="A1664" s="1" t="str">
        <f t="shared" si="546"/>
        <v>20200622</v>
      </c>
      <c r="B1664" s="1"/>
      <c r="C1664" s="1"/>
      <c r="D1664" s="1" t="str">
        <f>"偿还融资负债本金"</f>
        <v>偿还融资负债本金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-11454.99</v>
      </c>
      <c r="O1664" s="1">
        <v>30.4</v>
      </c>
      <c r="P1664" s="1">
        <v>0</v>
      </c>
    </row>
    <row r="1665" spans="1:16">
      <c r="A1665" s="1" t="str">
        <f t="shared" ref="A1665:A1671" si="547">"20200623"</f>
        <v>20200623</v>
      </c>
      <c r="B1665" s="1" t="str">
        <f>"600362"</f>
        <v>600362</v>
      </c>
      <c r="C1665" s="1" t="str">
        <f>"江西铜业"</f>
        <v>江西铜业</v>
      </c>
      <c r="D1665" s="1" t="str">
        <f>"卖券还款"</f>
        <v>卖券还款</v>
      </c>
      <c r="E1665" s="1">
        <v>13.39</v>
      </c>
      <c r="F1665" s="1">
        <v>1000</v>
      </c>
      <c r="G1665" s="1">
        <v>13390</v>
      </c>
      <c r="H1665" s="1">
        <v>6.7</v>
      </c>
      <c r="I1665" s="1">
        <v>5.78</v>
      </c>
      <c r="J1665" s="1">
        <v>13.39</v>
      </c>
      <c r="K1665" s="1">
        <v>0.27</v>
      </c>
      <c r="L1665" s="1">
        <v>0</v>
      </c>
      <c r="M1665" s="1">
        <v>0</v>
      </c>
      <c r="N1665" s="1">
        <v>13369.64</v>
      </c>
      <c r="O1665" s="1">
        <v>13400.04</v>
      </c>
      <c r="P1665" s="1">
        <v>0</v>
      </c>
    </row>
    <row r="1666" spans="1:16">
      <c r="A1666" s="1" t="str">
        <f t="shared" si="547"/>
        <v>20200623</v>
      </c>
      <c r="B1666" s="1" t="str">
        <f>"510300"</f>
        <v>510300</v>
      </c>
      <c r="C1666" s="1" t="str">
        <f>"300ETF"</f>
        <v>300ETF</v>
      </c>
      <c r="D1666" s="1" t="str">
        <f>"融券卖出"</f>
        <v>融券卖出</v>
      </c>
      <c r="E1666" s="1">
        <v>4.115</v>
      </c>
      <c r="F1666" s="1">
        <v>3000</v>
      </c>
      <c r="G1666" s="1">
        <v>12345</v>
      </c>
      <c r="H1666" s="1">
        <v>6.17</v>
      </c>
      <c r="I1666" s="1">
        <v>5.61</v>
      </c>
      <c r="J1666" s="1">
        <v>0</v>
      </c>
      <c r="K1666" s="1">
        <v>0</v>
      </c>
      <c r="L1666" s="1">
        <v>0</v>
      </c>
      <c r="M1666" s="1">
        <v>0</v>
      </c>
      <c r="N1666" s="1">
        <v>12338.83</v>
      </c>
      <c r="O1666" s="1">
        <v>25738.87</v>
      </c>
      <c r="P1666" s="1">
        <v>0</v>
      </c>
    </row>
    <row r="1667" spans="1:16">
      <c r="A1667" s="1" t="str">
        <f t="shared" si="547"/>
        <v>20200623</v>
      </c>
      <c r="B1667" s="1" t="str">
        <f>"510300"</f>
        <v>510300</v>
      </c>
      <c r="C1667" s="1" t="str">
        <f>"300ETF"</f>
        <v>300ETF</v>
      </c>
      <c r="D1667" s="1" t="str">
        <f>"融券借入"</f>
        <v>融券借入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</row>
    <row r="1668" spans="1:16">
      <c r="A1668" s="1" t="str">
        <f t="shared" si="547"/>
        <v>20200623</v>
      </c>
      <c r="B1668" s="1"/>
      <c r="C1668" s="1"/>
      <c r="D1668" s="1" t="str">
        <f>"偿还融资利息"</f>
        <v>偿还融资利息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-0.33</v>
      </c>
      <c r="O1668" s="1">
        <v>25738.54</v>
      </c>
      <c r="P1668" s="1">
        <v>0</v>
      </c>
    </row>
    <row r="1669" spans="1:16">
      <c r="A1669" s="1" t="str">
        <f t="shared" si="547"/>
        <v>20200623</v>
      </c>
      <c r="B1669" s="1"/>
      <c r="C1669" s="1"/>
      <c r="D1669" s="1" t="str">
        <f>"偿还融资负债本金"</f>
        <v>偿还融资负债本金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-1421.71</v>
      </c>
      <c r="O1669" s="1">
        <v>24316.83</v>
      </c>
      <c r="P1669" s="1">
        <v>0</v>
      </c>
    </row>
    <row r="1670" spans="1:16">
      <c r="A1670" s="1" t="str">
        <f t="shared" si="547"/>
        <v>20200623</v>
      </c>
      <c r="B1670" s="1"/>
      <c r="C1670" s="1"/>
      <c r="D1670" s="1" t="str">
        <f>"偿还融资利息"</f>
        <v>偿还融资利息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-18.93</v>
      </c>
      <c r="O1670" s="1">
        <v>24297.9</v>
      </c>
      <c r="P1670" s="1">
        <v>0</v>
      </c>
    </row>
    <row r="1671" spans="1:16">
      <c r="A1671" s="1" t="str">
        <f t="shared" si="547"/>
        <v>20200623</v>
      </c>
      <c r="B1671" s="1"/>
      <c r="C1671" s="1"/>
      <c r="D1671" s="1" t="str">
        <f>"偿还融资负债本金"</f>
        <v>偿还融资负债本金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-11895.2</v>
      </c>
      <c r="O1671" s="1">
        <v>12402.7</v>
      </c>
      <c r="P1671" s="1">
        <v>0</v>
      </c>
    </row>
    <row r="1672" spans="1:16">
      <c r="A1672" s="1" t="str">
        <f>"20200624"</f>
        <v>20200624</v>
      </c>
      <c r="B1672" s="1" t="str">
        <f>"600362"</f>
        <v>600362</v>
      </c>
      <c r="C1672" s="1" t="str">
        <f>"江西铜业"</f>
        <v>江西铜业</v>
      </c>
      <c r="D1672" s="1" t="str">
        <f>"融资买入"</f>
        <v>融资买入</v>
      </c>
      <c r="E1672" s="1">
        <v>13.28</v>
      </c>
      <c r="F1672" s="1">
        <v>1000</v>
      </c>
      <c r="G1672" s="1">
        <v>13280</v>
      </c>
      <c r="H1672" s="1">
        <v>6.64</v>
      </c>
      <c r="I1672" s="1">
        <v>5.72</v>
      </c>
      <c r="J1672" s="1">
        <v>0</v>
      </c>
      <c r="K1672" s="1">
        <v>0.27</v>
      </c>
      <c r="L1672" s="1">
        <v>0</v>
      </c>
      <c r="M1672" s="1">
        <v>0</v>
      </c>
      <c r="N1672" s="1">
        <v>-13286.91</v>
      </c>
      <c r="O1672" s="1">
        <v>-884.21</v>
      </c>
      <c r="P1672" s="1">
        <v>1000</v>
      </c>
    </row>
    <row r="1673" spans="1:16">
      <c r="A1673" s="1" t="str">
        <f>"20200624"</f>
        <v>20200624</v>
      </c>
      <c r="B1673" s="1"/>
      <c r="C1673" s="1"/>
      <c r="D1673" s="1" t="str">
        <f>"融资借入"</f>
        <v>融资借入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13286.91</v>
      </c>
      <c r="O1673" s="1">
        <v>12402.7</v>
      </c>
      <c r="P1673" s="1">
        <v>0</v>
      </c>
    </row>
    <row r="1674" spans="1:16">
      <c r="A1674" s="1" t="str">
        <f t="shared" ref="A1674:A1681" si="548">"20200630"</f>
        <v>20200630</v>
      </c>
      <c r="B1674" s="1" t="str">
        <f>"002183"</f>
        <v>002183</v>
      </c>
      <c r="C1674" s="1" t="str">
        <f>"怡 亚 通"</f>
        <v>怡 亚 通</v>
      </c>
      <c r="D1674" s="1" t="str">
        <f>"红利入账"</f>
        <v>红利入账</v>
      </c>
      <c r="E1674" s="1">
        <v>0</v>
      </c>
      <c r="F1674" s="1">
        <v>0</v>
      </c>
      <c r="G1674" s="1">
        <v>125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125</v>
      </c>
      <c r="O1674" s="1">
        <v>12527.7</v>
      </c>
      <c r="P1674" s="1">
        <v>0</v>
      </c>
    </row>
    <row r="1675" spans="1:16">
      <c r="A1675" s="1" t="str">
        <f t="shared" si="548"/>
        <v>20200630</v>
      </c>
      <c r="B1675" s="1" t="str">
        <f>"510300"</f>
        <v>510300</v>
      </c>
      <c r="C1675" s="1" t="str">
        <f>"300ETF"</f>
        <v>300ETF</v>
      </c>
      <c r="D1675" s="1" t="str">
        <f>"融券卖出"</f>
        <v>融券卖出</v>
      </c>
      <c r="E1675" s="1">
        <v>4.162</v>
      </c>
      <c r="F1675" s="1">
        <v>3000</v>
      </c>
      <c r="G1675" s="1">
        <v>12486</v>
      </c>
      <c r="H1675" s="1">
        <v>6.24</v>
      </c>
      <c r="I1675" s="1">
        <v>5.68</v>
      </c>
      <c r="J1675" s="1">
        <v>0</v>
      </c>
      <c r="K1675" s="1">
        <v>0</v>
      </c>
      <c r="L1675" s="1">
        <v>0</v>
      </c>
      <c r="M1675" s="1">
        <v>0</v>
      </c>
      <c r="N1675" s="1">
        <v>12479.76</v>
      </c>
      <c r="O1675" s="1">
        <v>25007.46</v>
      </c>
      <c r="P1675" s="1">
        <v>0</v>
      </c>
    </row>
    <row r="1676" spans="1:16">
      <c r="A1676" s="1" t="str">
        <f t="shared" si="548"/>
        <v>20200630</v>
      </c>
      <c r="B1676" s="1" t="str">
        <f>"600362"</f>
        <v>600362</v>
      </c>
      <c r="C1676" s="1" t="str">
        <f>"江西铜业"</f>
        <v>江西铜业</v>
      </c>
      <c r="D1676" s="1" t="str">
        <f>"卖券还款"</f>
        <v>卖券还款</v>
      </c>
      <c r="E1676" s="1">
        <v>13.4</v>
      </c>
      <c r="F1676" s="1">
        <v>1000</v>
      </c>
      <c r="G1676" s="1">
        <v>13400</v>
      </c>
      <c r="H1676" s="1">
        <v>6.7</v>
      </c>
      <c r="I1676" s="1">
        <v>5.78</v>
      </c>
      <c r="J1676" s="1">
        <v>13.4</v>
      </c>
      <c r="K1676" s="1">
        <v>0.27</v>
      </c>
      <c r="L1676" s="1">
        <v>0</v>
      </c>
      <c r="M1676" s="1">
        <v>0</v>
      </c>
      <c r="N1676" s="1">
        <v>13379.63</v>
      </c>
      <c r="O1676" s="1">
        <v>38387.09</v>
      </c>
      <c r="P1676" s="1">
        <v>0</v>
      </c>
    </row>
    <row r="1677" spans="1:16">
      <c r="A1677" s="1" t="str">
        <f t="shared" si="548"/>
        <v>20200630</v>
      </c>
      <c r="B1677" s="1" t="str">
        <f>"510300"</f>
        <v>510300</v>
      </c>
      <c r="C1677" s="1" t="str">
        <f>"300ETF"</f>
        <v>300ETF</v>
      </c>
      <c r="D1677" s="1" t="str">
        <f>"融券借入"</f>
        <v>融券借入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</row>
    <row r="1678" spans="1:16">
      <c r="A1678" s="1" t="str">
        <f t="shared" si="548"/>
        <v>20200630</v>
      </c>
      <c r="B1678" s="1"/>
      <c r="C1678" s="1"/>
      <c r="D1678" s="1" t="str">
        <f>"偿还融资利息"</f>
        <v>偿还融资利息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-0.78</v>
      </c>
      <c r="O1678" s="1">
        <v>38386.31</v>
      </c>
      <c r="P1678" s="1">
        <v>0</v>
      </c>
    </row>
    <row r="1679" spans="1:16">
      <c r="A1679" s="1" t="str">
        <f t="shared" si="548"/>
        <v>20200630</v>
      </c>
      <c r="B1679" s="1"/>
      <c r="C1679" s="1"/>
      <c r="D1679" s="1" t="str">
        <f>"偿还融资负债本金"</f>
        <v>偿还融资负债本金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-485.99</v>
      </c>
      <c r="O1679" s="1">
        <v>37900.32</v>
      </c>
      <c r="P1679" s="1">
        <v>0</v>
      </c>
    </row>
    <row r="1680" spans="1:16">
      <c r="A1680" s="1" t="str">
        <f t="shared" si="548"/>
        <v>20200630</v>
      </c>
      <c r="B1680" s="1"/>
      <c r="C1680" s="1"/>
      <c r="D1680" s="1" t="str">
        <f>"偿还融资利息"</f>
        <v>偿还融资利息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-151.83</v>
      </c>
      <c r="O1680" s="1">
        <v>37748.49</v>
      </c>
      <c r="P1680" s="1">
        <v>0</v>
      </c>
    </row>
    <row r="1681" spans="1:16">
      <c r="A1681" s="1" t="str">
        <f t="shared" si="548"/>
        <v>20200630</v>
      </c>
      <c r="B1681" s="1"/>
      <c r="C1681" s="1"/>
      <c r="D1681" s="1" t="str">
        <f>"偿还融资负债本金"</f>
        <v>偿还融资负债本金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-12707.53</v>
      </c>
      <c r="O1681" s="1">
        <v>25040.96</v>
      </c>
      <c r="P1681" s="1">
        <v>0</v>
      </c>
    </row>
    <row r="1682" spans="1:16">
      <c r="A1682" s="1" t="str">
        <f t="shared" ref="A1682:A1686" si="549">"20200703"</f>
        <v>20200703</v>
      </c>
      <c r="B1682" s="1" t="str">
        <f>"603707"</f>
        <v>603707</v>
      </c>
      <c r="C1682" s="1" t="str">
        <f>"健友股份"</f>
        <v>健友股份</v>
      </c>
      <c r="D1682" s="1" t="str">
        <f>"融券卖出"</f>
        <v>融券卖出</v>
      </c>
      <c r="E1682" s="1">
        <v>61.2</v>
      </c>
      <c r="F1682" s="1">
        <v>200</v>
      </c>
      <c r="G1682" s="1">
        <v>12240</v>
      </c>
      <c r="H1682" s="1">
        <v>6.12</v>
      </c>
      <c r="I1682" s="1">
        <v>5.28</v>
      </c>
      <c r="J1682" s="1">
        <v>12.24</v>
      </c>
      <c r="K1682" s="1">
        <v>0.24</v>
      </c>
      <c r="L1682" s="1">
        <v>0</v>
      </c>
      <c r="M1682" s="1">
        <v>0</v>
      </c>
      <c r="N1682" s="1">
        <v>12221.4</v>
      </c>
      <c r="O1682" s="1">
        <v>37262.36</v>
      </c>
      <c r="P1682" s="1">
        <v>0</v>
      </c>
    </row>
    <row r="1683" spans="1:16">
      <c r="A1683" s="1" t="str">
        <f t="shared" si="549"/>
        <v>20200703</v>
      </c>
      <c r="B1683" s="1" t="str">
        <f>"000543"</f>
        <v>000543</v>
      </c>
      <c r="C1683" s="1" t="str">
        <f>"皖能电力"</f>
        <v>皖能电力</v>
      </c>
      <c r="D1683" s="1" t="str">
        <f>"卖券还款"</f>
        <v>卖券还款</v>
      </c>
      <c r="E1683" s="1">
        <v>4.2</v>
      </c>
      <c r="F1683" s="1">
        <v>3000</v>
      </c>
      <c r="G1683" s="1">
        <v>12600</v>
      </c>
      <c r="H1683" s="1">
        <v>6.3</v>
      </c>
      <c r="I1683" s="1">
        <v>5.19</v>
      </c>
      <c r="J1683" s="1">
        <v>12.6</v>
      </c>
      <c r="K1683" s="1">
        <v>0</v>
      </c>
      <c r="L1683" s="1">
        <v>0</v>
      </c>
      <c r="M1683" s="1">
        <v>0</v>
      </c>
      <c r="N1683" s="1">
        <v>12581.1</v>
      </c>
      <c r="O1683" s="1">
        <v>49843.46</v>
      </c>
      <c r="P1683" s="1">
        <v>19000</v>
      </c>
    </row>
    <row r="1684" spans="1:16">
      <c r="A1684" s="1" t="str">
        <f t="shared" si="549"/>
        <v>20200703</v>
      </c>
      <c r="B1684" s="1" t="str">
        <f>"603707"</f>
        <v>603707</v>
      </c>
      <c r="C1684" s="1" t="str">
        <f>"健友股份"</f>
        <v>健友股份</v>
      </c>
      <c r="D1684" s="1" t="str">
        <f>"融券借入"</f>
        <v>融券借入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</row>
    <row r="1685" spans="1:16">
      <c r="A1685" s="1" t="str">
        <f t="shared" si="549"/>
        <v>20200703</v>
      </c>
      <c r="B1685" s="1"/>
      <c r="C1685" s="1"/>
      <c r="D1685" s="1" t="str">
        <f>"偿还融资利息"</f>
        <v>偿还融资利息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-13.95</v>
      </c>
      <c r="O1685" s="1">
        <v>49829.51</v>
      </c>
      <c r="P1685" s="1">
        <v>0</v>
      </c>
    </row>
    <row r="1686" spans="1:16">
      <c r="A1686" s="1" t="str">
        <f t="shared" si="549"/>
        <v>20200703</v>
      </c>
      <c r="B1686" s="1"/>
      <c r="C1686" s="1"/>
      <c r="D1686" s="1" t="str">
        <f>"偿还融资负债本金"</f>
        <v>偿还融资负债本金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-12535.65</v>
      </c>
      <c r="O1686" s="1">
        <v>37293.86</v>
      </c>
      <c r="P1686" s="1">
        <v>0</v>
      </c>
    </row>
    <row r="1687" spans="1:16">
      <c r="A1687" s="1" t="str">
        <f t="shared" ref="A1687:A1692" si="550">"20200706"</f>
        <v>20200706</v>
      </c>
      <c r="B1687" s="1" t="str">
        <f>"000543"</f>
        <v>000543</v>
      </c>
      <c r="C1687" s="1" t="str">
        <f>"皖能电力"</f>
        <v>皖能电力</v>
      </c>
      <c r="D1687" s="1" t="str">
        <f>"红利入账"</f>
        <v>红利入账</v>
      </c>
      <c r="E1687" s="1">
        <v>0</v>
      </c>
      <c r="F1687" s="1">
        <v>0</v>
      </c>
      <c r="G1687" s="1">
        <v>2261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2261</v>
      </c>
      <c r="O1687" s="1">
        <v>39554.86</v>
      </c>
      <c r="P1687" s="1">
        <v>0</v>
      </c>
    </row>
    <row r="1688" spans="1:16">
      <c r="A1688" s="1" t="str">
        <f t="shared" si="550"/>
        <v>20200706</v>
      </c>
      <c r="B1688" s="1" t="str">
        <f>"603707"</f>
        <v>603707</v>
      </c>
      <c r="C1688" s="1" t="str">
        <f>"健友股份"</f>
        <v>健友股份</v>
      </c>
      <c r="D1688" s="1" t="str">
        <f>"买券还券"</f>
        <v>买券还券</v>
      </c>
      <c r="E1688" s="1">
        <v>59.88</v>
      </c>
      <c r="F1688" s="1">
        <v>200</v>
      </c>
      <c r="G1688" s="1">
        <v>11976</v>
      </c>
      <c r="H1688" s="1">
        <v>5.99</v>
      </c>
      <c r="I1688" s="1">
        <v>5.17</v>
      </c>
      <c r="J1688" s="1">
        <v>0</v>
      </c>
      <c r="K1688" s="1">
        <v>0.24</v>
      </c>
      <c r="L1688" s="1">
        <v>0</v>
      </c>
      <c r="M1688" s="1">
        <v>0</v>
      </c>
      <c r="N1688" s="1">
        <v>-11982.23</v>
      </c>
      <c r="O1688" s="1">
        <v>27572.63</v>
      </c>
      <c r="P1688" s="1">
        <v>200</v>
      </c>
    </row>
    <row r="1689" spans="1:16">
      <c r="A1689" s="1" t="str">
        <f t="shared" si="550"/>
        <v>20200706</v>
      </c>
      <c r="B1689" s="1" t="str">
        <f>"002183"</f>
        <v>002183</v>
      </c>
      <c r="C1689" s="1" t="str">
        <f>"怡 亚 通"</f>
        <v>怡 亚 通</v>
      </c>
      <c r="D1689" s="1" t="str">
        <f>"融资买入"</f>
        <v>融资买入</v>
      </c>
      <c r="E1689" s="1">
        <v>5.68</v>
      </c>
      <c r="F1689" s="1">
        <v>3000</v>
      </c>
      <c r="G1689" s="1">
        <v>17040</v>
      </c>
      <c r="H1689" s="1">
        <v>8.52</v>
      </c>
      <c r="I1689" s="1">
        <v>7.01</v>
      </c>
      <c r="J1689" s="1">
        <v>0</v>
      </c>
      <c r="K1689" s="1">
        <v>0</v>
      </c>
      <c r="L1689" s="1">
        <v>0</v>
      </c>
      <c r="M1689" s="1">
        <v>0</v>
      </c>
      <c r="N1689" s="1">
        <v>-17048.52</v>
      </c>
      <c r="O1689" s="1">
        <v>10524.11</v>
      </c>
      <c r="P1689" s="1">
        <v>15500</v>
      </c>
    </row>
    <row r="1690" spans="1:16">
      <c r="A1690" s="1" t="str">
        <f t="shared" si="550"/>
        <v>20200706</v>
      </c>
      <c r="B1690" s="1"/>
      <c r="C1690" s="1"/>
      <c r="D1690" s="1" t="str">
        <f>"融资借入"</f>
        <v>融资借入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17048.52</v>
      </c>
      <c r="O1690" s="1">
        <v>27572.63</v>
      </c>
      <c r="P1690" s="1">
        <v>0</v>
      </c>
    </row>
    <row r="1691" spans="1:16">
      <c r="A1691" s="1" t="str">
        <f t="shared" si="550"/>
        <v>20200706</v>
      </c>
      <c r="B1691" s="1" t="str">
        <f>"603707"</f>
        <v>603707</v>
      </c>
      <c r="C1691" s="1" t="str">
        <f>"健友股份"</f>
        <v>健友股份</v>
      </c>
      <c r="D1691" s="1" t="str">
        <f>"偿还融券负债"</f>
        <v>偿还融券负债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</row>
    <row r="1692" spans="1:16">
      <c r="A1692" s="1" t="str">
        <f t="shared" si="550"/>
        <v>20200706</v>
      </c>
      <c r="B1692" s="1"/>
      <c r="C1692" s="1"/>
      <c r="D1692" s="1" t="str">
        <f>"偿还融券费用"</f>
        <v>偿还融券费用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-8.58</v>
      </c>
      <c r="O1692" s="1">
        <v>27564.05</v>
      </c>
      <c r="P1692" s="1">
        <v>0</v>
      </c>
    </row>
    <row r="1693" spans="1:16">
      <c r="A1693" s="1" t="str">
        <f t="shared" ref="A1693:A1697" si="551">"20200707"</f>
        <v>20200707</v>
      </c>
      <c r="B1693" s="1" t="str">
        <f>"002183"</f>
        <v>002183</v>
      </c>
      <c r="C1693" s="1" t="str">
        <f>"怡 亚 通"</f>
        <v>怡 亚 通</v>
      </c>
      <c r="D1693" s="1" t="str">
        <f>"卖券还款"</f>
        <v>卖券还款</v>
      </c>
      <c r="E1693" s="1">
        <v>5.77</v>
      </c>
      <c r="F1693" s="1">
        <v>3000</v>
      </c>
      <c r="G1693" s="1">
        <v>17310</v>
      </c>
      <c r="H1693" s="1">
        <v>8.66</v>
      </c>
      <c r="I1693" s="1">
        <v>7.13</v>
      </c>
      <c r="J1693" s="1">
        <v>17.31</v>
      </c>
      <c r="K1693" s="1">
        <v>0</v>
      </c>
      <c r="L1693" s="1">
        <v>0</v>
      </c>
      <c r="M1693" s="1">
        <v>0</v>
      </c>
      <c r="N1693" s="1">
        <v>17284.03</v>
      </c>
      <c r="O1693" s="1">
        <v>44848.08</v>
      </c>
      <c r="P1693" s="1">
        <v>12500</v>
      </c>
    </row>
    <row r="1694" spans="1:16">
      <c r="A1694" s="1" t="str">
        <f t="shared" si="551"/>
        <v>20200707</v>
      </c>
      <c r="B1694" s="1"/>
      <c r="C1694" s="1"/>
      <c r="D1694" s="1" t="str">
        <f>"偿还融资利息"</f>
        <v>偿还融资利息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-6.96</v>
      </c>
      <c r="O1694" s="1">
        <v>44841.12</v>
      </c>
      <c r="P1694" s="1">
        <v>0</v>
      </c>
    </row>
    <row r="1695" spans="1:16">
      <c r="A1695" s="1" t="str">
        <f t="shared" si="551"/>
        <v>20200707</v>
      </c>
      <c r="B1695" s="1"/>
      <c r="C1695" s="1"/>
      <c r="D1695" s="1" t="str">
        <f>"偿还融资负债本金"</f>
        <v>偿还融资负债本金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-7493.83</v>
      </c>
      <c r="O1695" s="1">
        <v>37347.29</v>
      </c>
      <c r="P1695" s="1">
        <v>0</v>
      </c>
    </row>
    <row r="1696" spans="1:16">
      <c r="A1696" s="1" t="str">
        <f t="shared" si="551"/>
        <v>20200707</v>
      </c>
      <c r="B1696" s="1"/>
      <c r="C1696" s="1"/>
      <c r="D1696" s="1" t="str">
        <f>"偿还融资利息"</f>
        <v>偿还融资利息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-75.06</v>
      </c>
      <c r="O1696" s="1">
        <v>37272.23</v>
      </c>
      <c r="P1696" s="1">
        <v>0</v>
      </c>
    </row>
    <row r="1697" spans="1:16">
      <c r="A1697" s="1" t="str">
        <f t="shared" si="551"/>
        <v>20200707</v>
      </c>
      <c r="B1697" s="1"/>
      <c r="C1697" s="1"/>
      <c r="D1697" s="1" t="str">
        <f>"偿还融资负债本金"</f>
        <v>偿还融资负债本金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-9664.91</v>
      </c>
      <c r="O1697" s="1">
        <v>27607.32</v>
      </c>
      <c r="P1697" s="1">
        <v>0</v>
      </c>
    </row>
    <row r="1698" spans="1:16">
      <c r="A1698" s="1" t="str">
        <f t="shared" ref="A1698:A1700" si="552">"20200708"</f>
        <v>20200708</v>
      </c>
      <c r="B1698" s="1" t="str">
        <f>"002183"</f>
        <v>002183</v>
      </c>
      <c r="C1698" s="1" t="str">
        <f>"怡 亚 通"</f>
        <v>怡 亚 通</v>
      </c>
      <c r="D1698" s="1" t="str">
        <f>"股息红利差异扣税"</f>
        <v>股息红利差异扣税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-3</v>
      </c>
      <c r="O1698" s="1">
        <v>27604.32</v>
      </c>
      <c r="P1698" s="1">
        <v>0</v>
      </c>
    </row>
    <row r="1699" spans="1:16">
      <c r="A1699" s="1" t="str">
        <f t="shared" si="552"/>
        <v>20200708</v>
      </c>
      <c r="B1699" s="1" t="str">
        <f>"600066"</f>
        <v>600066</v>
      </c>
      <c r="C1699" s="1" t="str">
        <f>"宇通客车"</f>
        <v>宇通客车</v>
      </c>
      <c r="D1699" s="1" t="str">
        <f>"融资买入"</f>
        <v>融资买入</v>
      </c>
      <c r="E1699" s="1">
        <v>12.97</v>
      </c>
      <c r="F1699" s="1">
        <v>1000</v>
      </c>
      <c r="G1699" s="1">
        <v>12970</v>
      </c>
      <c r="H1699" s="1">
        <v>6.49</v>
      </c>
      <c r="I1699" s="1">
        <v>5.6</v>
      </c>
      <c r="J1699" s="1">
        <v>0</v>
      </c>
      <c r="K1699" s="1">
        <v>0.26</v>
      </c>
      <c r="L1699" s="1">
        <v>0</v>
      </c>
      <c r="M1699" s="1">
        <v>0</v>
      </c>
      <c r="N1699" s="1">
        <v>-12976.75</v>
      </c>
      <c r="O1699" s="1">
        <v>14627.57</v>
      </c>
      <c r="P1699" s="1">
        <v>1000</v>
      </c>
    </row>
    <row r="1700" spans="1:16">
      <c r="A1700" s="1" t="str">
        <f t="shared" si="552"/>
        <v>20200708</v>
      </c>
      <c r="B1700" s="1"/>
      <c r="C1700" s="1"/>
      <c r="D1700" s="1" t="str">
        <f>"融资借入"</f>
        <v>融资借入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12976.75</v>
      </c>
      <c r="O1700" s="1">
        <v>27604.32</v>
      </c>
      <c r="P1700" s="1">
        <v>0</v>
      </c>
    </row>
    <row r="1701" spans="1:16">
      <c r="A1701" s="1" t="str">
        <f t="shared" ref="A1701:A1705" si="553">"20200713"</f>
        <v>20200713</v>
      </c>
      <c r="B1701" s="1" t="str">
        <f>"600066"</f>
        <v>600066</v>
      </c>
      <c r="C1701" s="1" t="str">
        <f>"宇通客车"</f>
        <v>宇通客车</v>
      </c>
      <c r="D1701" s="1" t="str">
        <f>"卖券还款"</f>
        <v>卖券还款</v>
      </c>
      <c r="E1701" s="1">
        <v>13.74</v>
      </c>
      <c r="F1701" s="1">
        <v>1000</v>
      </c>
      <c r="G1701" s="1">
        <v>13740</v>
      </c>
      <c r="H1701" s="1">
        <v>6.87</v>
      </c>
      <c r="I1701" s="1">
        <v>5.93</v>
      </c>
      <c r="J1701" s="1">
        <v>13.74</v>
      </c>
      <c r="K1701" s="1">
        <v>0.27</v>
      </c>
      <c r="L1701" s="1">
        <v>0</v>
      </c>
      <c r="M1701" s="1">
        <v>0</v>
      </c>
      <c r="N1701" s="1">
        <v>13719.12</v>
      </c>
      <c r="O1701" s="1">
        <v>41323.44</v>
      </c>
      <c r="P1701" s="1">
        <v>0</v>
      </c>
    </row>
    <row r="1702" spans="1:16">
      <c r="A1702" s="1" t="str">
        <f t="shared" si="553"/>
        <v>20200713</v>
      </c>
      <c r="B1702" s="1"/>
      <c r="C1702" s="1"/>
      <c r="D1702" s="1" t="str">
        <f>"偿还融资利息"</f>
        <v>偿还融资利息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-3.23</v>
      </c>
      <c r="O1702" s="1">
        <v>41320.21</v>
      </c>
      <c r="P1702" s="1">
        <v>0</v>
      </c>
    </row>
    <row r="1703" spans="1:16">
      <c r="A1703" s="1" t="str">
        <f t="shared" si="553"/>
        <v>20200713</v>
      </c>
      <c r="B1703" s="1"/>
      <c r="C1703" s="1"/>
      <c r="D1703" s="1" t="str">
        <f>"偿还融资负债本金"</f>
        <v>偿还融资负债本金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-2316.08</v>
      </c>
      <c r="O1703" s="1">
        <v>39004.13</v>
      </c>
      <c r="P1703" s="1">
        <v>0</v>
      </c>
    </row>
    <row r="1704" spans="1:16">
      <c r="A1704" s="1" t="str">
        <f t="shared" si="553"/>
        <v>20200713</v>
      </c>
      <c r="B1704" s="1"/>
      <c r="C1704" s="1"/>
      <c r="D1704" s="1" t="str">
        <f>"偿还融资利息"</f>
        <v>偿还融资利息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-84.63</v>
      </c>
      <c r="O1704" s="1">
        <v>38919.5</v>
      </c>
      <c r="P1704" s="1">
        <v>0</v>
      </c>
    </row>
    <row r="1705" spans="1:16">
      <c r="A1705" s="1" t="str">
        <f t="shared" si="553"/>
        <v>20200713</v>
      </c>
      <c r="B1705" s="1"/>
      <c r="C1705" s="1"/>
      <c r="D1705" s="1" t="str">
        <f>"偿还融资负债本金"</f>
        <v>偿还融资负债本金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-11280.83</v>
      </c>
      <c r="O1705" s="1">
        <v>27638.67</v>
      </c>
      <c r="P1705" s="1">
        <v>0</v>
      </c>
    </row>
    <row r="1706" spans="1:16">
      <c r="A1706" s="1" t="str">
        <f>"20200716"</f>
        <v>20200716</v>
      </c>
      <c r="B1706" s="1" t="str">
        <f>"600066"</f>
        <v>600066</v>
      </c>
      <c r="C1706" s="1" t="str">
        <f>"宇通客车"</f>
        <v>宇通客车</v>
      </c>
      <c r="D1706" s="1" t="str">
        <f t="shared" ref="D1706:D1709" si="554">"融资买入"</f>
        <v>融资买入</v>
      </c>
      <c r="E1706" s="1">
        <v>12.99</v>
      </c>
      <c r="F1706" s="1">
        <v>1000</v>
      </c>
      <c r="G1706" s="1">
        <v>12990</v>
      </c>
      <c r="H1706" s="1">
        <v>6.5</v>
      </c>
      <c r="I1706" s="1">
        <v>5.61</v>
      </c>
      <c r="J1706" s="1">
        <v>0</v>
      </c>
      <c r="K1706" s="1">
        <v>0.26</v>
      </c>
      <c r="L1706" s="1">
        <v>0</v>
      </c>
      <c r="M1706" s="1">
        <v>0</v>
      </c>
      <c r="N1706" s="1">
        <v>-12996.76</v>
      </c>
      <c r="O1706" s="1">
        <v>14641.91</v>
      </c>
      <c r="P1706" s="1">
        <v>1000</v>
      </c>
    </row>
    <row r="1707" spans="1:16">
      <c r="A1707" s="1" t="str">
        <f>"20200716"</f>
        <v>20200716</v>
      </c>
      <c r="B1707" s="1"/>
      <c r="C1707" s="1"/>
      <c r="D1707" s="1" t="str">
        <f t="shared" ref="D1707:D1711" si="555">"融资借入"</f>
        <v>融资借入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12996.76</v>
      </c>
      <c r="O1707" s="1">
        <v>27638.67</v>
      </c>
      <c r="P1707" s="1">
        <v>0</v>
      </c>
    </row>
    <row r="1708" spans="1:16">
      <c r="A1708" s="1" t="str">
        <f t="shared" ref="A1708:A1711" si="556">"20200717"</f>
        <v>20200717</v>
      </c>
      <c r="B1708" s="1" t="str">
        <f>"000543"</f>
        <v>000543</v>
      </c>
      <c r="C1708" s="1" t="str">
        <f>"皖能电力"</f>
        <v>皖能电力</v>
      </c>
      <c r="D1708" s="1" t="str">
        <f t="shared" si="554"/>
        <v>融资买入</v>
      </c>
      <c r="E1708" s="1">
        <v>4.09</v>
      </c>
      <c r="F1708" s="1">
        <v>3000</v>
      </c>
      <c r="G1708" s="1">
        <v>12270</v>
      </c>
      <c r="H1708" s="1">
        <v>6.14</v>
      </c>
      <c r="I1708" s="1">
        <v>5.04</v>
      </c>
      <c r="J1708" s="1">
        <v>0</v>
      </c>
      <c r="K1708" s="1">
        <v>0</v>
      </c>
      <c r="L1708" s="1">
        <v>0</v>
      </c>
      <c r="M1708" s="1">
        <v>0</v>
      </c>
      <c r="N1708" s="1">
        <v>-12276.14</v>
      </c>
      <c r="O1708" s="1">
        <v>15362.53</v>
      </c>
      <c r="P1708" s="1">
        <v>22000</v>
      </c>
    </row>
    <row r="1709" spans="1:16">
      <c r="A1709" s="1" t="str">
        <f t="shared" si="556"/>
        <v>20200717</v>
      </c>
      <c r="B1709" s="1" t="str">
        <f>"002183"</f>
        <v>002183</v>
      </c>
      <c r="C1709" s="1" t="str">
        <f>"怡 亚 通"</f>
        <v>怡 亚 通</v>
      </c>
      <c r="D1709" s="1" t="str">
        <f t="shared" si="554"/>
        <v>融资买入</v>
      </c>
      <c r="E1709" s="1">
        <v>5.8</v>
      </c>
      <c r="F1709" s="1">
        <v>3000</v>
      </c>
      <c r="G1709" s="1">
        <v>17400</v>
      </c>
      <c r="H1709" s="1">
        <v>8.7</v>
      </c>
      <c r="I1709" s="1">
        <v>7.16</v>
      </c>
      <c r="J1709" s="1">
        <v>0</v>
      </c>
      <c r="K1709" s="1">
        <v>0</v>
      </c>
      <c r="L1709" s="1">
        <v>0</v>
      </c>
      <c r="M1709" s="1">
        <v>0</v>
      </c>
      <c r="N1709" s="1">
        <v>-17408.7</v>
      </c>
      <c r="O1709" s="1">
        <v>-2046.17</v>
      </c>
      <c r="P1709" s="1">
        <v>15500</v>
      </c>
    </row>
    <row r="1710" spans="1:16">
      <c r="A1710" s="1" t="str">
        <f t="shared" si="556"/>
        <v>20200717</v>
      </c>
      <c r="B1710" s="1"/>
      <c r="C1710" s="1"/>
      <c r="D1710" s="1" t="str">
        <f t="shared" si="555"/>
        <v>融资借入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12276.14</v>
      </c>
      <c r="O1710" s="1">
        <v>10229.97</v>
      </c>
      <c r="P1710" s="1">
        <v>0</v>
      </c>
    </row>
    <row r="1711" spans="1:16">
      <c r="A1711" s="1" t="str">
        <f t="shared" si="556"/>
        <v>20200717</v>
      </c>
      <c r="B1711" s="1"/>
      <c r="C1711" s="1"/>
      <c r="D1711" s="1" t="str">
        <f t="shared" si="555"/>
        <v>融资借入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17408.7</v>
      </c>
      <c r="O1711" s="1">
        <v>27638.67</v>
      </c>
      <c r="P1711" s="1">
        <v>0</v>
      </c>
    </row>
    <row r="1712" spans="1:16">
      <c r="A1712" s="1" t="str">
        <f t="shared" ref="A1712:A1735" si="557">"20200720"</f>
        <v>20200720</v>
      </c>
      <c r="B1712" s="1" t="str">
        <f>"002183"</f>
        <v>002183</v>
      </c>
      <c r="C1712" s="1" t="str">
        <f>"怡 亚 通"</f>
        <v>怡 亚 通</v>
      </c>
      <c r="D1712" s="1" t="str">
        <f t="shared" ref="D1712:D1714" si="558">"卖券还款"</f>
        <v>卖券还款</v>
      </c>
      <c r="E1712" s="1">
        <v>6.06</v>
      </c>
      <c r="F1712" s="1">
        <v>3000</v>
      </c>
      <c r="G1712" s="1">
        <v>18180</v>
      </c>
      <c r="H1712" s="1">
        <v>9.09</v>
      </c>
      <c r="I1712" s="1">
        <v>7.48</v>
      </c>
      <c r="J1712" s="1">
        <v>18.18</v>
      </c>
      <c r="K1712" s="1">
        <v>0</v>
      </c>
      <c r="L1712" s="1">
        <v>0</v>
      </c>
      <c r="M1712" s="1">
        <v>0</v>
      </c>
      <c r="N1712" s="1">
        <v>18152.73</v>
      </c>
      <c r="O1712" s="1">
        <v>45791.4</v>
      </c>
      <c r="P1712" s="1">
        <v>12500</v>
      </c>
    </row>
    <row r="1713" spans="1:16">
      <c r="A1713" s="1" t="str">
        <f t="shared" si="557"/>
        <v>20200720</v>
      </c>
      <c r="B1713" s="1" t="str">
        <f>"600066"</f>
        <v>600066</v>
      </c>
      <c r="C1713" s="1" t="str">
        <f>"宇通客车"</f>
        <v>宇通客车</v>
      </c>
      <c r="D1713" s="1" t="str">
        <f t="shared" si="558"/>
        <v>卖券还款</v>
      </c>
      <c r="E1713" s="1">
        <v>13.22</v>
      </c>
      <c r="F1713" s="1">
        <v>1000</v>
      </c>
      <c r="G1713" s="1">
        <v>13220</v>
      </c>
      <c r="H1713" s="1">
        <v>6.61</v>
      </c>
      <c r="I1713" s="1">
        <v>5.71</v>
      </c>
      <c r="J1713" s="1">
        <v>13.22</v>
      </c>
      <c r="K1713" s="1">
        <v>0.26</v>
      </c>
      <c r="L1713" s="1">
        <v>0</v>
      </c>
      <c r="M1713" s="1">
        <v>0</v>
      </c>
      <c r="N1713" s="1">
        <v>13199.91</v>
      </c>
      <c r="O1713" s="1">
        <v>58991.31</v>
      </c>
      <c r="P1713" s="1">
        <v>0</v>
      </c>
    </row>
    <row r="1714" spans="1:16">
      <c r="A1714" s="1" t="str">
        <f t="shared" si="557"/>
        <v>20200720</v>
      </c>
      <c r="B1714" s="1" t="str">
        <f>"000543"</f>
        <v>000543</v>
      </c>
      <c r="C1714" s="1" t="str">
        <f>"皖能电力"</f>
        <v>皖能电力</v>
      </c>
      <c r="D1714" s="1" t="str">
        <f t="shared" si="558"/>
        <v>卖券还款</v>
      </c>
      <c r="E1714" s="1">
        <v>4.3</v>
      </c>
      <c r="F1714" s="1">
        <v>3000</v>
      </c>
      <c r="G1714" s="1">
        <v>12900</v>
      </c>
      <c r="H1714" s="1">
        <v>6.45</v>
      </c>
      <c r="I1714" s="1">
        <v>5.3</v>
      </c>
      <c r="J1714" s="1">
        <v>12.9</v>
      </c>
      <c r="K1714" s="1">
        <v>0</v>
      </c>
      <c r="L1714" s="1">
        <v>0</v>
      </c>
      <c r="M1714" s="1">
        <v>0</v>
      </c>
      <c r="N1714" s="1">
        <v>12880.65</v>
      </c>
      <c r="O1714" s="1">
        <v>71871.96</v>
      </c>
      <c r="P1714" s="1">
        <v>19000</v>
      </c>
    </row>
    <row r="1715" spans="1:16">
      <c r="A1715" s="1" t="str">
        <f t="shared" si="557"/>
        <v>20200720</v>
      </c>
      <c r="B1715" s="1"/>
      <c r="C1715" s="1"/>
      <c r="D1715" s="1" t="str">
        <f t="shared" ref="D1715:D1719" si="559">"偿还融资利息"</f>
        <v>偿还融资利息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-0.78</v>
      </c>
      <c r="O1715" s="1">
        <v>71871.18</v>
      </c>
      <c r="P1715" s="1">
        <v>0</v>
      </c>
    </row>
    <row r="1716" spans="1:16">
      <c r="A1716" s="1" t="str">
        <f t="shared" si="557"/>
        <v>20200720</v>
      </c>
      <c r="B1716" s="1"/>
      <c r="C1716" s="1"/>
      <c r="D1716" s="1" t="str">
        <f t="shared" ref="D1716:D1721" si="560">"偿还融资负债本金"</f>
        <v>偿还融资负债本金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-485.05</v>
      </c>
      <c r="O1716" s="1">
        <v>71386.13</v>
      </c>
      <c r="P1716" s="1">
        <v>0</v>
      </c>
    </row>
    <row r="1717" spans="1:16">
      <c r="A1717" s="1" t="str">
        <f t="shared" si="557"/>
        <v>20200720</v>
      </c>
      <c r="B1717" s="1"/>
      <c r="C1717" s="1"/>
      <c r="D1717" s="1" t="str">
        <f t="shared" si="559"/>
        <v>偿还融资利息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-103.07</v>
      </c>
      <c r="O1717" s="1">
        <v>71283.06</v>
      </c>
      <c r="P1717" s="1">
        <v>0</v>
      </c>
    </row>
    <row r="1718" spans="1:16">
      <c r="A1718" s="1" t="str">
        <f t="shared" si="557"/>
        <v>20200720</v>
      </c>
      <c r="B1718" s="1"/>
      <c r="C1718" s="1"/>
      <c r="D1718" s="1" t="str">
        <f t="shared" si="560"/>
        <v>偿还融资负债本金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-13076.8</v>
      </c>
      <c r="O1718" s="1">
        <v>58206.26</v>
      </c>
      <c r="P1718" s="1">
        <v>0</v>
      </c>
    </row>
    <row r="1719" spans="1:16">
      <c r="A1719" s="1" t="str">
        <f t="shared" si="557"/>
        <v>20200720</v>
      </c>
      <c r="B1719" s="1"/>
      <c r="C1719" s="1"/>
      <c r="D1719" s="1" t="str">
        <f t="shared" si="559"/>
        <v>偿还融资利息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-99.93</v>
      </c>
      <c r="O1719" s="1">
        <v>58106.33</v>
      </c>
      <c r="P1719" s="1">
        <v>0</v>
      </c>
    </row>
    <row r="1720" spans="1:16">
      <c r="A1720" s="1" t="str">
        <f t="shared" si="557"/>
        <v>20200720</v>
      </c>
      <c r="B1720" s="1"/>
      <c r="C1720" s="1"/>
      <c r="D1720" s="1" t="str">
        <f t="shared" si="560"/>
        <v>偿还融资负债本金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-4341.65</v>
      </c>
      <c r="O1720" s="1">
        <v>53764.68</v>
      </c>
      <c r="P1720" s="1">
        <v>0</v>
      </c>
    </row>
    <row r="1721" spans="1:16">
      <c r="A1721" s="1" t="str">
        <f t="shared" si="557"/>
        <v>20200720</v>
      </c>
      <c r="B1721" s="1"/>
      <c r="C1721" s="1"/>
      <c r="D1721" s="1" t="str">
        <f t="shared" si="560"/>
        <v>偿还融资负债本金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-8705.13</v>
      </c>
      <c r="O1721" s="1">
        <v>45059.55</v>
      </c>
      <c r="P1721" s="1">
        <v>0</v>
      </c>
    </row>
    <row r="1722" spans="1:16">
      <c r="A1722" s="1" t="str">
        <f t="shared" si="557"/>
        <v>20200720</v>
      </c>
      <c r="B1722" s="1"/>
      <c r="C1722" s="1"/>
      <c r="D1722" s="1" t="str">
        <f>"偿还融资利息"</f>
        <v>偿还融资利息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-95.49</v>
      </c>
      <c r="O1722" s="1">
        <v>44964.06</v>
      </c>
      <c r="P1722" s="1">
        <v>0</v>
      </c>
    </row>
    <row r="1723" spans="1:16">
      <c r="A1723" s="1" t="str">
        <f t="shared" si="557"/>
        <v>20200720</v>
      </c>
      <c r="B1723" s="1"/>
      <c r="C1723" s="1"/>
      <c r="D1723" s="1" t="str">
        <f t="shared" ref="D1723:D1727" si="561">"偿还融资负债本金"</f>
        <v>偿还融资负债本金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-4366.24</v>
      </c>
      <c r="O1723" s="1">
        <v>40597.82</v>
      </c>
      <c r="P1723" s="1">
        <v>0</v>
      </c>
    </row>
    <row r="1724" spans="1:16">
      <c r="A1724" s="1" t="str">
        <f t="shared" si="557"/>
        <v>20200720</v>
      </c>
      <c r="B1724" s="1"/>
      <c r="C1724" s="1"/>
      <c r="D1724" s="1" t="str">
        <f t="shared" si="561"/>
        <v>偿还融资负债本金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-8920.67</v>
      </c>
      <c r="O1724" s="1">
        <v>31677.15</v>
      </c>
      <c r="P1724" s="1">
        <v>0</v>
      </c>
    </row>
    <row r="1725" spans="1:16">
      <c r="A1725" s="1" t="str">
        <f t="shared" si="557"/>
        <v>20200720</v>
      </c>
      <c r="B1725" s="1"/>
      <c r="C1725" s="1"/>
      <c r="D1725" s="1" t="str">
        <f t="shared" ref="D1725:D1730" si="562">"偿还融券费用"</f>
        <v>偿还融券费用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-84.68</v>
      </c>
      <c r="O1725" s="1">
        <v>31592.47</v>
      </c>
      <c r="P1725" s="1">
        <v>0</v>
      </c>
    </row>
    <row r="1726" spans="1:16">
      <c r="A1726" s="1" t="str">
        <f t="shared" si="557"/>
        <v>20200720</v>
      </c>
      <c r="B1726" s="1"/>
      <c r="C1726" s="1"/>
      <c r="D1726" s="1" t="str">
        <f t="shared" ref="D1726:D1735" si="563">"偿还融资利息"</f>
        <v>偿还融资利息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-80.09</v>
      </c>
      <c r="O1726" s="1">
        <v>31512.38</v>
      </c>
      <c r="P1726" s="1">
        <v>0</v>
      </c>
    </row>
    <row r="1727" spans="1:16">
      <c r="A1727" s="1" t="str">
        <f t="shared" si="557"/>
        <v>20200720</v>
      </c>
      <c r="B1727" s="1"/>
      <c r="C1727" s="1"/>
      <c r="D1727" s="1" t="str">
        <f t="shared" si="561"/>
        <v>偿还融资负债本金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-3762.96</v>
      </c>
      <c r="O1727" s="1">
        <v>27749.42</v>
      </c>
      <c r="P1727" s="1">
        <v>0</v>
      </c>
    </row>
    <row r="1728" spans="1:16">
      <c r="A1728" s="1" t="str">
        <f t="shared" si="557"/>
        <v>20200720</v>
      </c>
      <c r="B1728" s="1"/>
      <c r="C1728" s="1"/>
      <c r="D1728" s="1" t="str">
        <f t="shared" si="562"/>
        <v>偿还融券费用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-3.29</v>
      </c>
      <c r="O1728" s="1">
        <v>27746.13</v>
      </c>
      <c r="P1728" s="1">
        <v>0</v>
      </c>
    </row>
    <row r="1729" spans="1:16">
      <c r="A1729" s="1" t="str">
        <f t="shared" si="557"/>
        <v>20200720</v>
      </c>
      <c r="B1729" s="1"/>
      <c r="C1729" s="1"/>
      <c r="D1729" s="1" t="str">
        <f t="shared" si="563"/>
        <v>偿还融资利息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-2.21</v>
      </c>
      <c r="O1729" s="1">
        <v>27743.92</v>
      </c>
      <c r="P1729" s="1">
        <v>0</v>
      </c>
    </row>
    <row r="1730" spans="1:16">
      <c r="A1730" s="1" t="str">
        <f t="shared" si="557"/>
        <v>20200720</v>
      </c>
      <c r="B1730" s="1"/>
      <c r="C1730" s="1"/>
      <c r="D1730" s="1" t="str">
        <f t="shared" si="562"/>
        <v>偿还融券费用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-67.74</v>
      </c>
      <c r="O1730" s="1">
        <v>27676.18</v>
      </c>
      <c r="P1730" s="1">
        <v>0</v>
      </c>
    </row>
    <row r="1731" spans="1:16">
      <c r="A1731" s="1" t="str">
        <f t="shared" si="557"/>
        <v>20200720</v>
      </c>
      <c r="B1731" s="1"/>
      <c r="C1731" s="1"/>
      <c r="D1731" s="1" t="str">
        <f t="shared" si="563"/>
        <v>偿还融资利息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-59.27</v>
      </c>
      <c r="O1731" s="1">
        <v>27616.91</v>
      </c>
      <c r="P1731" s="1">
        <v>0</v>
      </c>
    </row>
    <row r="1732" spans="1:16">
      <c r="A1732" s="1" t="str">
        <f t="shared" si="557"/>
        <v>20200720</v>
      </c>
      <c r="B1732" s="1"/>
      <c r="C1732" s="1"/>
      <c r="D1732" s="1" t="str">
        <f t="shared" si="563"/>
        <v>偿还融资利息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-39.13</v>
      </c>
      <c r="O1732" s="1">
        <v>27577.78</v>
      </c>
      <c r="P1732" s="1">
        <v>0</v>
      </c>
    </row>
    <row r="1733" spans="1:16">
      <c r="A1733" s="1" t="str">
        <f t="shared" si="557"/>
        <v>20200720</v>
      </c>
      <c r="B1733" s="1"/>
      <c r="C1733" s="1"/>
      <c r="D1733" s="1" t="str">
        <f t="shared" si="563"/>
        <v>偿还融资利息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-15.06</v>
      </c>
      <c r="O1733" s="1">
        <v>27562.72</v>
      </c>
      <c r="P1733" s="1">
        <v>0</v>
      </c>
    </row>
    <row r="1734" spans="1:16">
      <c r="A1734" s="1" t="str">
        <f t="shared" si="557"/>
        <v>20200720</v>
      </c>
      <c r="B1734" s="1"/>
      <c r="C1734" s="1"/>
      <c r="D1734" s="1" t="str">
        <f t="shared" si="563"/>
        <v>偿还融资利息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-11.39</v>
      </c>
      <c r="O1734" s="1">
        <v>27551.33</v>
      </c>
      <c r="P1734" s="1">
        <v>0</v>
      </c>
    </row>
    <row r="1735" spans="1:16">
      <c r="A1735" s="1" t="str">
        <f t="shared" si="557"/>
        <v>20200720</v>
      </c>
      <c r="B1735" s="1"/>
      <c r="C1735" s="1"/>
      <c r="D1735" s="1" t="str">
        <f t="shared" si="563"/>
        <v>偿还融资利息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-16.16</v>
      </c>
      <c r="O1735" s="1">
        <v>27535.17</v>
      </c>
      <c r="P1735" s="1">
        <v>0</v>
      </c>
    </row>
    <row r="1736" spans="1:16">
      <c r="A1736" s="1" t="str">
        <f>"20200721"</f>
        <v>20200721</v>
      </c>
      <c r="B1736" s="1" t="str">
        <f>"000543"</f>
        <v>000543</v>
      </c>
      <c r="C1736" s="1" t="str">
        <f>"皖能电力"</f>
        <v>皖能电力</v>
      </c>
      <c r="D1736" s="1" t="str">
        <f>"股息红利差异扣税"</f>
        <v>股息红利差异扣税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-35.7</v>
      </c>
      <c r="O1736" s="1">
        <v>27499.47</v>
      </c>
      <c r="P1736" s="1">
        <v>0</v>
      </c>
    </row>
    <row r="1737" spans="1:16">
      <c r="A1737" s="1" t="str">
        <f>"20200721"</f>
        <v>20200721</v>
      </c>
      <c r="B1737" s="1" t="str">
        <f t="shared" ref="B1737:B1742" si="564">"002183"</f>
        <v>002183</v>
      </c>
      <c r="C1737" s="1" t="str">
        <f t="shared" ref="C1737:C1742" si="565">"怡 亚 通"</f>
        <v>怡 亚 通</v>
      </c>
      <c r="D1737" s="1" t="str">
        <f>"股息红利差异扣税"</f>
        <v>股息红利差异扣税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-3</v>
      </c>
      <c r="O1737" s="1">
        <v>27496.47</v>
      </c>
      <c r="P1737" s="1">
        <v>0</v>
      </c>
    </row>
    <row r="1738" spans="1:16">
      <c r="A1738" s="1" t="str">
        <f t="shared" ref="A1738:A1741" si="566">"20200724"</f>
        <v>20200724</v>
      </c>
      <c r="B1738" s="1" t="str">
        <f>"000543"</f>
        <v>000543</v>
      </c>
      <c r="C1738" s="1" t="str">
        <f>"皖能电力"</f>
        <v>皖能电力</v>
      </c>
      <c r="D1738" s="1" t="str">
        <f>"融资买入"</f>
        <v>融资买入</v>
      </c>
      <c r="E1738" s="1">
        <v>4.12</v>
      </c>
      <c r="F1738" s="1">
        <v>3000</v>
      </c>
      <c r="G1738" s="1">
        <v>12360</v>
      </c>
      <c r="H1738" s="1">
        <v>6.18</v>
      </c>
      <c r="I1738" s="1">
        <v>5.09</v>
      </c>
      <c r="J1738" s="1">
        <v>0</v>
      </c>
      <c r="K1738" s="1">
        <v>0</v>
      </c>
      <c r="L1738" s="1">
        <v>0</v>
      </c>
      <c r="M1738" s="1">
        <v>0</v>
      </c>
      <c r="N1738" s="1">
        <v>-12366.18</v>
      </c>
      <c r="O1738" s="1">
        <v>15130.29</v>
      </c>
      <c r="P1738" s="1">
        <v>22000</v>
      </c>
    </row>
    <row r="1739" spans="1:16">
      <c r="A1739" s="1" t="str">
        <f t="shared" si="566"/>
        <v>20200724</v>
      </c>
      <c r="B1739" s="1" t="str">
        <f t="shared" si="564"/>
        <v>002183</v>
      </c>
      <c r="C1739" s="1" t="str">
        <f t="shared" si="565"/>
        <v>怡 亚 通</v>
      </c>
      <c r="D1739" s="1" t="str">
        <f>"融资买入"</f>
        <v>融资买入</v>
      </c>
      <c r="E1739" s="1">
        <v>6.22</v>
      </c>
      <c r="F1739" s="1">
        <v>3000</v>
      </c>
      <c r="G1739" s="1">
        <v>18660</v>
      </c>
      <c r="H1739" s="1">
        <v>9.33</v>
      </c>
      <c r="I1739" s="1">
        <v>7.69</v>
      </c>
      <c r="J1739" s="1">
        <v>0</v>
      </c>
      <c r="K1739" s="1">
        <v>0</v>
      </c>
      <c r="L1739" s="1">
        <v>0</v>
      </c>
      <c r="M1739" s="1">
        <v>0</v>
      </c>
      <c r="N1739" s="1">
        <v>-18669.33</v>
      </c>
      <c r="O1739" s="1">
        <v>-3539.04</v>
      </c>
      <c r="P1739" s="1">
        <v>15500</v>
      </c>
    </row>
    <row r="1740" spans="1:16">
      <c r="A1740" s="1" t="str">
        <f t="shared" si="566"/>
        <v>20200724</v>
      </c>
      <c r="B1740" s="1"/>
      <c r="C1740" s="1"/>
      <c r="D1740" s="1" t="str">
        <f>"融资借入"</f>
        <v>融资借入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12366.18</v>
      </c>
      <c r="O1740" s="1">
        <v>8827.14</v>
      </c>
      <c r="P1740" s="1">
        <v>0</v>
      </c>
    </row>
    <row r="1741" spans="1:16">
      <c r="A1741" s="1" t="str">
        <f t="shared" si="566"/>
        <v>20200724</v>
      </c>
      <c r="B1741" s="1"/>
      <c r="C1741" s="1"/>
      <c r="D1741" s="1" t="str">
        <f>"融资借入"</f>
        <v>融资借入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18669.33</v>
      </c>
      <c r="O1741" s="1">
        <v>27496.47</v>
      </c>
      <c r="P1741" s="1">
        <v>0</v>
      </c>
    </row>
    <row r="1742" spans="1:16">
      <c r="A1742" s="1" t="str">
        <f t="shared" ref="A1742:A1748" si="567">"20200728"</f>
        <v>20200728</v>
      </c>
      <c r="B1742" s="1" t="str">
        <f t="shared" si="564"/>
        <v>002183</v>
      </c>
      <c r="C1742" s="1" t="str">
        <f t="shared" si="565"/>
        <v>怡 亚 通</v>
      </c>
      <c r="D1742" s="1" t="str">
        <f>"卖券还款"</f>
        <v>卖券还款</v>
      </c>
      <c r="E1742" s="1">
        <v>5.92</v>
      </c>
      <c r="F1742" s="1">
        <v>3000</v>
      </c>
      <c r="G1742" s="1">
        <v>17760</v>
      </c>
      <c r="H1742" s="1">
        <v>8.88</v>
      </c>
      <c r="I1742" s="1">
        <v>7.29</v>
      </c>
      <c r="J1742" s="1">
        <v>17.76</v>
      </c>
      <c r="K1742" s="1">
        <v>0</v>
      </c>
      <c r="L1742" s="1">
        <v>0</v>
      </c>
      <c r="M1742" s="1">
        <v>0</v>
      </c>
      <c r="N1742" s="1">
        <v>17733.36</v>
      </c>
      <c r="O1742" s="1">
        <v>45229.83</v>
      </c>
      <c r="P1742" s="1">
        <v>12500</v>
      </c>
    </row>
    <row r="1743" spans="1:16">
      <c r="A1743" s="1" t="str">
        <f t="shared" si="567"/>
        <v>20200728</v>
      </c>
      <c r="B1743" s="1"/>
      <c r="C1743" s="1"/>
      <c r="D1743" s="1" t="str">
        <f>"偿还融券费用"</f>
        <v>偿还融券费用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-22.65</v>
      </c>
      <c r="O1743" s="1">
        <v>45207.18</v>
      </c>
      <c r="P1743" s="1">
        <v>0</v>
      </c>
    </row>
    <row r="1744" spans="1:16">
      <c r="A1744" s="1" t="str">
        <f t="shared" si="567"/>
        <v>20200728</v>
      </c>
      <c r="B1744" s="1"/>
      <c r="C1744" s="1"/>
      <c r="D1744" s="1" t="str">
        <f>"偿还融资利息"</f>
        <v>偿还融资利息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-15.47</v>
      </c>
      <c r="O1744" s="1">
        <v>45191.71</v>
      </c>
      <c r="P1744" s="1">
        <v>0</v>
      </c>
    </row>
    <row r="1745" spans="1:16">
      <c r="A1745" s="1" t="str">
        <f t="shared" si="567"/>
        <v>20200728</v>
      </c>
      <c r="B1745" s="1"/>
      <c r="C1745" s="1"/>
      <c r="D1745" s="1" t="str">
        <f>"偿还融资负债本金"</f>
        <v>偿还融资负债本金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-9523.95</v>
      </c>
      <c r="O1745" s="1">
        <v>35667.76</v>
      </c>
      <c r="P1745" s="1">
        <v>0</v>
      </c>
    </row>
    <row r="1746" spans="1:16">
      <c r="A1746" s="1" t="str">
        <f t="shared" si="567"/>
        <v>20200728</v>
      </c>
      <c r="B1746" s="1"/>
      <c r="C1746" s="1"/>
      <c r="D1746" s="1" t="str">
        <f>"偿还融券费用"</f>
        <v>偿还融券费用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-22.65</v>
      </c>
      <c r="O1746" s="1">
        <v>35645.11</v>
      </c>
      <c r="P1746" s="1">
        <v>0</v>
      </c>
    </row>
    <row r="1747" spans="1:16">
      <c r="A1747" s="1" t="str">
        <f t="shared" si="567"/>
        <v>20200728</v>
      </c>
      <c r="B1747" s="1"/>
      <c r="C1747" s="1"/>
      <c r="D1747" s="1" t="str">
        <f>"偿还融资利息"</f>
        <v>偿还融资利息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-27.66</v>
      </c>
      <c r="O1747" s="1">
        <v>35617.45</v>
      </c>
      <c r="P1747" s="1">
        <v>0</v>
      </c>
    </row>
    <row r="1748" spans="1:16">
      <c r="A1748" s="1" t="str">
        <f t="shared" si="567"/>
        <v>20200728</v>
      </c>
      <c r="B1748" s="1"/>
      <c r="C1748" s="1"/>
      <c r="D1748" s="1" t="str">
        <f>"偿还融资负债本金"</f>
        <v>偿还融资负债本金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-8076.58</v>
      </c>
      <c r="O1748" s="1">
        <v>27540.87</v>
      </c>
      <c r="P1748" s="1">
        <v>0</v>
      </c>
    </row>
    <row r="1749" spans="1:16">
      <c r="A1749" s="1" t="str">
        <f>"20200729"</f>
        <v>20200729</v>
      </c>
      <c r="B1749" s="1" t="str">
        <f>"002183"</f>
        <v>002183</v>
      </c>
      <c r="C1749" s="1" t="str">
        <f>"怡 亚 通"</f>
        <v>怡 亚 通</v>
      </c>
      <c r="D1749" s="1" t="str">
        <f>"股息红利差异扣税"</f>
        <v>股息红利差异扣税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-3</v>
      </c>
      <c r="O1749" s="1">
        <v>27537.87</v>
      </c>
      <c r="P1749" s="1">
        <v>0</v>
      </c>
    </row>
    <row r="1750" spans="1:16">
      <c r="A1750" s="1" t="str">
        <f t="shared" ref="A1750:A1761" si="568">"20200820"</f>
        <v>20200820</v>
      </c>
      <c r="B1750" s="1" t="str">
        <f>"000543"</f>
        <v>000543</v>
      </c>
      <c r="C1750" s="1" t="str">
        <f>"皖能电力"</f>
        <v>皖能电力</v>
      </c>
      <c r="D1750" s="1" t="str">
        <f>"融资买入"</f>
        <v>融资买入</v>
      </c>
      <c r="E1750" s="1">
        <v>4.25</v>
      </c>
      <c r="F1750" s="1">
        <v>3000</v>
      </c>
      <c r="G1750" s="1">
        <v>12750</v>
      </c>
      <c r="H1750" s="1">
        <v>6.38</v>
      </c>
      <c r="I1750" s="1">
        <v>5.24</v>
      </c>
      <c r="J1750" s="1">
        <v>0</v>
      </c>
      <c r="K1750" s="1">
        <v>0</v>
      </c>
      <c r="L1750" s="1">
        <v>0</v>
      </c>
      <c r="M1750" s="1">
        <v>0</v>
      </c>
      <c r="N1750" s="1">
        <v>-12756.38</v>
      </c>
      <c r="O1750" s="1">
        <v>14781.49</v>
      </c>
      <c r="P1750" s="1">
        <v>25000</v>
      </c>
    </row>
    <row r="1751" spans="1:16">
      <c r="A1751" s="1" t="str">
        <f t="shared" si="568"/>
        <v>20200820</v>
      </c>
      <c r="B1751" s="1"/>
      <c r="C1751" s="1"/>
      <c r="D1751" s="1" t="str">
        <f>"融资借入"</f>
        <v>融资借入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12756.38</v>
      </c>
      <c r="O1751" s="1">
        <v>27537.87</v>
      </c>
      <c r="P1751" s="1">
        <v>0</v>
      </c>
    </row>
    <row r="1752" spans="1:16">
      <c r="A1752" s="1" t="str">
        <f t="shared" si="568"/>
        <v>20200820</v>
      </c>
      <c r="B1752" s="1"/>
      <c r="C1752" s="1"/>
      <c r="D1752" s="1" t="str">
        <f>"偿还融券费用"</f>
        <v>偿还融券费用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-79.63</v>
      </c>
      <c r="O1752" s="1">
        <v>27458.24</v>
      </c>
      <c r="P1752" s="1">
        <v>0</v>
      </c>
    </row>
    <row r="1753" spans="1:16">
      <c r="A1753" s="1" t="str">
        <f t="shared" si="568"/>
        <v>20200820</v>
      </c>
      <c r="B1753" s="1"/>
      <c r="C1753" s="1"/>
      <c r="D1753" s="1" t="str">
        <f>"偿还融券费用"</f>
        <v>偿还融券费用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-79.63</v>
      </c>
      <c r="O1753" s="1">
        <v>27378.61</v>
      </c>
      <c r="P1753" s="1">
        <v>0</v>
      </c>
    </row>
    <row r="1754" spans="1:16">
      <c r="A1754" s="1" t="str">
        <f t="shared" si="568"/>
        <v>20200820</v>
      </c>
      <c r="B1754" s="1"/>
      <c r="C1754" s="1"/>
      <c r="D1754" s="1" t="str">
        <f t="shared" ref="D1754:D1761" si="569">"偿还融资利息"</f>
        <v>偿还融资利息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-49.92</v>
      </c>
      <c r="O1754" s="1">
        <v>27328.69</v>
      </c>
      <c r="P1754" s="1">
        <v>0</v>
      </c>
    </row>
    <row r="1755" spans="1:16">
      <c r="A1755" s="1" t="str">
        <f t="shared" si="568"/>
        <v>20200820</v>
      </c>
      <c r="B1755" s="1"/>
      <c r="C1755" s="1"/>
      <c r="D1755" s="1" t="str">
        <f t="shared" si="569"/>
        <v>偿还融资利息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-93.31</v>
      </c>
      <c r="O1755" s="1">
        <v>27235.38</v>
      </c>
      <c r="P1755" s="1">
        <v>0</v>
      </c>
    </row>
    <row r="1756" spans="1:16">
      <c r="A1756" s="1" t="str">
        <f t="shared" si="568"/>
        <v>20200820</v>
      </c>
      <c r="B1756" s="1"/>
      <c r="C1756" s="1"/>
      <c r="D1756" s="1" t="str">
        <f t="shared" si="569"/>
        <v>偿还融资利息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-93.35</v>
      </c>
      <c r="O1756" s="1">
        <v>27142.03</v>
      </c>
      <c r="P1756" s="1">
        <v>0</v>
      </c>
    </row>
    <row r="1757" spans="1:16">
      <c r="A1757" s="1" t="str">
        <f t="shared" si="568"/>
        <v>20200820</v>
      </c>
      <c r="B1757" s="1"/>
      <c r="C1757" s="1"/>
      <c r="D1757" s="1" t="str">
        <f t="shared" si="569"/>
        <v>偿还融资利息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-88.31</v>
      </c>
      <c r="O1757" s="1">
        <v>27053.72</v>
      </c>
      <c r="P1757" s="1">
        <v>0</v>
      </c>
    </row>
    <row r="1758" spans="1:16">
      <c r="A1758" s="1" t="str">
        <f t="shared" si="568"/>
        <v>20200820</v>
      </c>
      <c r="B1758" s="1"/>
      <c r="C1758" s="1"/>
      <c r="D1758" s="1" t="str">
        <f t="shared" si="569"/>
        <v>偿还融资利息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-125.24</v>
      </c>
      <c r="O1758" s="1">
        <v>26928.48</v>
      </c>
      <c r="P1758" s="1">
        <v>0</v>
      </c>
    </row>
    <row r="1759" spans="1:16">
      <c r="A1759" s="1" t="str">
        <f t="shared" si="568"/>
        <v>20200820</v>
      </c>
      <c r="B1759" s="1"/>
      <c r="C1759" s="1"/>
      <c r="D1759" s="1" t="str">
        <f t="shared" si="569"/>
        <v>偿还融资利息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-80.36</v>
      </c>
      <c r="O1759" s="1">
        <v>26848.12</v>
      </c>
      <c r="P1759" s="1">
        <v>0</v>
      </c>
    </row>
    <row r="1760" spans="1:16">
      <c r="A1760" s="1" t="str">
        <f t="shared" si="568"/>
        <v>20200820</v>
      </c>
      <c r="B1760" s="1"/>
      <c r="C1760" s="1"/>
      <c r="D1760" s="1" t="str">
        <f t="shared" si="569"/>
        <v>偿还融资利息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-121.24</v>
      </c>
      <c r="O1760" s="1">
        <v>26726.88</v>
      </c>
      <c r="P1760" s="1">
        <v>0</v>
      </c>
    </row>
    <row r="1761" spans="1:16">
      <c r="A1761" s="1" t="str">
        <f t="shared" si="568"/>
        <v>20200820</v>
      </c>
      <c r="B1761" s="1"/>
      <c r="C1761" s="1"/>
      <c r="D1761" s="1" t="str">
        <f t="shared" si="569"/>
        <v>偿还融资利息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-2.96</v>
      </c>
      <c r="O1761" s="1">
        <v>26723.92</v>
      </c>
      <c r="P1761" s="1">
        <v>0</v>
      </c>
    </row>
    <row r="1762" spans="1:16">
      <c r="A1762" s="1" t="str">
        <f>"20200827"</f>
        <v>20200827</v>
      </c>
      <c r="B1762" s="1" t="str">
        <f>"000601"</f>
        <v>000601</v>
      </c>
      <c r="C1762" s="1" t="str">
        <f>"韶能股份"</f>
        <v>韶能股份</v>
      </c>
      <c r="D1762" s="1" t="str">
        <f>"红利入账"</f>
        <v>红利入账</v>
      </c>
      <c r="E1762" s="1">
        <v>0</v>
      </c>
      <c r="F1762" s="1">
        <v>0</v>
      </c>
      <c r="G1762" s="1">
        <v>7500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7500</v>
      </c>
      <c r="O1762" s="1">
        <v>34223.92</v>
      </c>
      <c r="P1762" s="1">
        <v>0</v>
      </c>
    </row>
    <row r="1763" spans="1:16">
      <c r="A1763" s="1" t="str">
        <f t="shared" ref="A1763:A1769" si="570">"20200901"</f>
        <v>20200901</v>
      </c>
      <c r="B1763" s="1" t="str">
        <f>"000543"</f>
        <v>000543</v>
      </c>
      <c r="C1763" s="1" t="str">
        <f>"皖能电力"</f>
        <v>皖能电力</v>
      </c>
      <c r="D1763" s="1" t="str">
        <f>"卖券还款"</f>
        <v>卖券还款</v>
      </c>
      <c r="E1763" s="1">
        <v>4.38</v>
      </c>
      <c r="F1763" s="1">
        <v>3000</v>
      </c>
      <c r="G1763" s="1">
        <v>13140</v>
      </c>
      <c r="H1763" s="1">
        <v>6.57</v>
      </c>
      <c r="I1763" s="1">
        <v>5.4</v>
      </c>
      <c r="J1763" s="1">
        <v>13.14</v>
      </c>
      <c r="K1763" s="1">
        <v>0</v>
      </c>
      <c r="L1763" s="1">
        <v>0</v>
      </c>
      <c r="M1763" s="1">
        <v>0</v>
      </c>
      <c r="N1763" s="1">
        <v>13120.29</v>
      </c>
      <c r="O1763" s="1">
        <v>47344.21</v>
      </c>
      <c r="P1763" s="1">
        <v>22000</v>
      </c>
    </row>
    <row r="1764" spans="1:16">
      <c r="A1764" s="1" t="str">
        <f t="shared" si="570"/>
        <v>20200901</v>
      </c>
      <c r="B1764" s="1"/>
      <c r="C1764" s="1"/>
      <c r="D1764" s="1" t="str">
        <f>"偿还融券费用"</f>
        <v>偿还融券费用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-37</v>
      </c>
      <c r="O1764" s="1">
        <v>47307.21</v>
      </c>
      <c r="P1764" s="1">
        <v>0</v>
      </c>
    </row>
    <row r="1765" spans="1:16">
      <c r="A1765" s="1" t="str">
        <f t="shared" si="570"/>
        <v>20200901</v>
      </c>
      <c r="B1765" s="1"/>
      <c r="C1765" s="1"/>
      <c r="D1765" s="1" t="str">
        <f>"偿还融券费用"</f>
        <v>偿还融券费用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-37</v>
      </c>
      <c r="O1765" s="1">
        <v>47270.21</v>
      </c>
      <c r="P1765" s="1">
        <v>0</v>
      </c>
    </row>
    <row r="1766" spans="1:16">
      <c r="A1766" s="1" t="str">
        <f t="shared" si="570"/>
        <v>20200901</v>
      </c>
      <c r="B1766" s="1"/>
      <c r="C1766" s="1"/>
      <c r="D1766" s="1" t="str">
        <f>"偿还融资利息"</f>
        <v>偿还融资利息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-22.88</v>
      </c>
      <c r="O1766" s="1">
        <v>47247.33</v>
      </c>
      <c r="P1766" s="1">
        <v>0</v>
      </c>
    </row>
    <row r="1767" spans="1:16">
      <c r="A1767" s="1" t="str">
        <f t="shared" si="570"/>
        <v>20200901</v>
      </c>
      <c r="B1767" s="1"/>
      <c r="C1767" s="1"/>
      <c r="D1767" s="1" t="str">
        <f>"偿还融资负债本金"</f>
        <v>偿还融资负债本金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-8971.94</v>
      </c>
      <c r="O1767" s="1">
        <v>38275.39</v>
      </c>
      <c r="P1767" s="1">
        <v>0</v>
      </c>
    </row>
    <row r="1768" spans="1:16">
      <c r="A1768" s="1" t="str">
        <f t="shared" si="570"/>
        <v>20200901</v>
      </c>
      <c r="B1768" s="1"/>
      <c r="C1768" s="1"/>
      <c r="D1768" s="1" t="str">
        <f>"偿还融资利息"</f>
        <v>偿还融资利息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-33.11</v>
      </c>
      <c r="O1768" s="1">
        <v>38242.28</v>
      </c>
      <c r="P1768" s="1">
        <v>0</v>
      </c>
    </row>
    <row r="1769" spans="1:16">
      <c r="A1769" s="1" t="str">
        <f t="shared" si="570"/>
        <v>20200901</v>
      </c>
      <c r="B1769" s="1"/>
      <c r="C1769" s="1"/>
      <c r="D1769" s="1" t="str">
        <f>"偿还融资负债本金"</f>
        <v>偿还融资负债本金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-3985.51</v>
      </c>
      <c r="O1769" s="1">
        <v>34256.77</v>
      </c>
      <c r="P1769" s="1">
        <v>0</v>
      </c>
    </row>
    <row r="1770" spans="1:16">
      <c r="A1770" s="1" t="str">
        <f>"20200902"</f>
        <v>20200902</v>
      </c>
      <c r="B1770" s="1" t="str">
        <f>"000543"</f>
        <v>000543</v>
      </c>
      <c r="C1770" s="1" t="str">
        <f>"皖能电力"</f>
        <v>皖能电力</v>
      </c>
      <c r="D1770" s="1" t="str">
        <f>"股息红利差异扣税"</f>
        <v>股息红利差异扣税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-35.7</v>
      </c>
      <c r="O1770" s="1">
        <v>34221.07</v>
      </c>
      <c r="P1770" s="1">
        <v>0</v>
      </c>
    </row>
    <row r="1771" spans="1:16">
      <c r="A1771" s="1" t="str">
        <f t="shared" ref="A1771:A1774" si="571">"20200904"</f>
        <v>20200904</v>
      </c>
      <c r="B1771" s="1"/>
      <c r="C1771" s="1"/>
      <c r="D1771" s="1" t="str">
        <f>"偿还融券费用"</f>
        <v>偿还融券费用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-10.23</v>
      </c>
      <c r="O1771" s="1">
        <v>34210.84</v>
      </c>
      <c r="P1771" s="1">
        <v>0</v>
      </c>
    </row>
    <row r="1772" spans="1:16">
      <c r="A1772" s="1" t="str">
        <f t="shared" si="571"/>
        <v>20200904</v>
      </c>
      <c r="B1772" s="1"/>
      <c r="C1772" s="1"/>
      <c r="D1772" s="1" t="str">
        <f>"偿还融券费用"</f>
        <v>偿还融券费用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-10.23</v>
      </c>
      <c r="O1772" s="1">
        <v>34200.61</v>
      </c>
      <c r="P1772" s="1">
        <v>0</v>
      </c>
    </row>
    <row r="1773" spans="1:16">
      <c r="A1773" s="1" t="str">
        <f t="shared" si="571"/>
        <v>20200904</v>
      </c>
      <c r="B1773" s="1"/>
      <c r="C1773" s="1"/>
      <c r="D1773" s="1" t="str">
        <f>"偿还融资利息"</f>
        <v>偿还融资利息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-6.27</v>
      </c>
      <c r="O1773" s="1">
        <v>34194.34</v>
      </c>
      <c r="P1773" s="1">
        <v>0</v>
      </c>
    </row>
    <row r="1774" spans="1:16">
      <c r="A1774" s="1" t="str">
        <f t="shared" si="571"/>
        <v>20200904</v>
      </c>
      <c r="B1774" s="1"/>
      <c r="C1774" s="1"/>
      <c r="D1774" s="1" t="str">
        <f>"偿还融资负债本金"</f>
        <v>偿还融资负债本金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-5973.27</v>
      </c>
      <c r="O1774" s="1">
        <v>28221.07</v>
      </c>
      <c r="P1774" s="1">
        <v>0</v>
      </c>
    </row>
    <row r="1775" spans="1:16">
      <c r="A1775" s="1" t="str">
        <f>"20200907"</f>
        <v>20200907</v>
      </c>
      <c r="B1775" s="1" t="str">
        <f>"000543"</f>
        <v>000543</v>
      </c>
      <c r="C1775" s="1" t="str">
        <f>"皖能电力"</f>
        <v>皖能电力</v>
      </c>
      <c r="D1775" s="1" t="str">
        <f>"融资买入"</f>
        <v>融资买入</v>
      </c>
      <c r="E1775" s="1">
        <v>4.24</v>
      </c>
      <c r="F1775" s="1">
        <v>3000</v>
      </c>
      <c r="G1775" s="1">
        <v>12720</v>
      </c>
      <c r="H1775" s="1">
        <v>6.36</v>
      </c>
      <c r="I1775" s="1">
        <v>5.23</v>
      </c>
      <c r="J1775" s="1">
        <v>0</v>
      </c>
      <c r="K1775" s="1">
        <v>0</v>
      </c>
      <c r="L1775" s="1">
        <v>0</v>
      </c>
      <c r="M1775" s="1">
        <v>0</v>
      </c>
      <c r="N1775" s="1">
        <v>-12726.36</v>
      </c>
      <c r="O1775" s="1">
        <v>15494.71</v>
      </c>
      <c r="P1775" s="1">
        <v>25000</v>
      </c>
    </row>
    <row r="1776" spans="1:16">
      <c r="A1776" s="1" t="str">
        <f>"20200907"</f>
        <v>20200907</v>
      </c>
      <c r="B1776" s="1"/>
      <c r="C1776" s="1"/>
      <c r="D1776" s="1" t="str">
        <f>"融资借入"</f>
        <v>融资借入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12726.36</v>
      </c>
      <c r="O1776" s="1">
        <v>28221.07</v>
      </c>
      <c r="P1776" s="1">
        <v>0</v>
      </c>
    </row>
    <row r="1777" spans="1:16">
      <c r="A1777" s="1" t="str">
        <f>"20200908"</f>
        <v>20200908</v>
      </c>
      <c r="B1777" s="1" t="str">
        <f>"002183"</f>
        <v>002183</v>
      </c>
      <c r="C1777" s="1" t="str">
        <f>"怡 亚 通"</f>
        <v>怡 亚 通</v>
      </c>
      <c r="D1777" s="1" t="str">
        <f>"融资买入"</f>
        <v>融资买入</v>
      </c>
      <c r="E1777" s="1">
        <v>5.22</v>
      </c>
      <c r="F1777" s="1">
        <v>3000</v>
      </c>
      <c r="G1777" s="1">
        <v>15660</v>
      </c>
      <c r="H1777" s="1">
        <v>7.83</v>
      </c>
      <c r="I1777" s="1">
        <v>6.45</v>
      </c>
      <c r="J1777" s="1">
        <v>0</v>
      </c>
      <c r="K1777" s="1">
        <v>0</v>
      </c>
      <c r="L1777" s="1">
        <v>0</v>
      </c>
      <c r="M1777" s="1">
        <v>0</v>
      </c>
      <c r="N1777" s="1">
        <v>-15667.83</v>
      </c>
      <c r="O1777" s="1">
        <v>12553.24</v>
      </c>
      <c r="P1777" s="1">
        <v>15500</v>
      </c>
    </row>
    <row r="1778" spans="1:16">
      <c r="A1778" s="1" t="str">
        <f>"20200908"</f>
        <v>20200908</v>
      </c>
      <c r="B1778" s="1"/>
      <c r="C1778" s="1"/>
      <c r="D1778" s="1" t="str">
        <f>"融资借入"</f>
        <v>融资借入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15667.83</v>
      </c>
      <c r="O1778" s="1">
        <v>28221.07</v>
      </c>
      <c r="P1778" s="1">
        <v>0</v>
      </c>
    </row>
    <row r="1779" spans="1:16">
      <c r="A1779" s="1" t="str">
        <f t="shared" ref="A1779:A1793" si="572">"20200909"</f>
        <v>20200909</v>
      </c>
      <c r="B1779" s="1" t="str">
        <f>"000543"</f>
        <v>000543</v>
      </c>
      <c r="C1779" s="1" t="str">
        <f>"皖能电力"</f>
        <v>皖能电力</v>
      </c>
      <c r="D1779" s="1" t="str">
        <f t="shared" ref="D1779:D1781" si="573">"卖券还款"</f>
        <v>卖券还款</v>
      </c>
      <c r="E1779" s="1">
        <v>4.35</v>
      </c>
      <c r="F1779" s="1">
        <v>3000</v>
      </c>
      <c r="G1779" s="1">
        <v>13050</v>
      </c>
      <c r="H1779" s="1">
        <v>6.53</v>
      </c>
      <c r="I1779" s="1">
        <v>5.37</v>
      </c>
      <c r="J1779" s="1">
        <v>13.05</v>
      </c>
      <c r="K1779" s="1">
        <v>0</v>
      </c>
      <c r="L1779" s="1">
        <v>0</v>
      </c>
      <c r="M1779" s="1">
        <v>0</v>
      </c>
      <c r="N1779" s="1">
        <v>13030.42</v>
      </c>
      <c r="O1779" s="1">
        <v>41251.49</v>
      </c>
      <c r="P1779" s="1">
        <v>22000</v>
      </c>
    </row>
    <row r="1780" spans="1:16">
      <c r="A1780" s="1" t="str">
        <f t="shared" si="572"/>
        <v>20200909</v>
      </c>
      <c r="B1780" s="1" t="str">
        <f>"002183"</f>
        <v>002183</v>
      </c>
      <c r="C1780" s="1" t="str">
        <f>"怡 亚 通"</f>
        <v>怡 亚 通</v>
      </c>
      <c r="D1780" s="1" t="str">
        <f t="shared" si="573"/>
        <v>卖券还款</v>
      </c>
      <c r="E1780" s="1">
        <v>5.33</v>
      </c>
      <c r="F1780" s="1">
        <v>3000</v>
      </c>
      <c r="G1780" s="1">
        <v>15990</v>
      </c>
      <c r="H1780" s="1">
        <v>8</v>
      </c>
      <c r="I1780" s="1">
        <v>6.58</v>
      </c>
      <c r="J1780" s="1">
        <v>15.99</v>
      </c>
      <c r="K1780" s="1">
        <v>0</v>
      </c>
      <c r="L1780" s="1">
        <v>0</v>
      </c>
      <c r="M1780" s="1">
        <v>0</v>
      </c>
      <c r="N1780" s="1">
        <v>15966.01</v>
      </c>
      <c r="O1780" s="1">
        <v>57217.5</v>
      </c>
      <c r="P1780" s="1">
        <v>12500</v>
      </c>
    </row>
    <row r="1781" spans="1:16">
      <c r="A1781" s="1" t="str">
        <f t="shared" si="572"/>
        <v>20200909</v>
      </c>
      <c r="B1781" s="1" t="str">
        <f>"000543"</f>
        <v>000543</v>
      </c>
      <c r="C1781" s="1" t="str">
        <f>"皖能电力"</f>
        <v>皖能电力</v>
      </c>
      <c r="D1781" s="1" t="str">
        <f t="shared" si="573"/>
        <v>卖券还款</v>
      </c>
      <c r="E1781" s="1">
        <v>4.38</v>
      </c>
      <c r="F1781" s="1">
        <v>3000</v>
      </c>
      <c r="G1781" s="1">
        <v>13140</v>
      </c>
      <c r="H1781" s="1">
        <v>6.57</v>
      </c>
      <c r="I1781" s="1">
        <v>5.41</v>
      </c>
      <c r="J1781" s="1">
        <v>13.14</v>
      </c>
      <c r="K1781" s="1">
        <v>0</v>
      </c>
      <c r="L1781" s="1">
        <v>0</v>
      </c>
      <c r="M1781" s="1">
        <v>0</v>
      </c>
      <c r="N1781" s="1">
        <v>13120.29</v>
      </c>
      <c r="O1781" s="1">
        <v>70337.79</v>
      </c>
      <c r="P1781" s="1">
        <v>19000</v>
      </c>
    </row>
    <row r="1782" spans="1:16">
      <c r="A1782" s="1" t="str">
        <f t="shared" si="572"/>
        <v>20200909</v>
      </c>
      <c r="B1782" s="1"/>
      <c r="C1782" s="1"/>
      <c r="D1782" s="1" t="str">
        <f>"偿还融券费用"</f>
        <v>偿还融券费用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-16.68</v>
      </c>
      <c r="O1782" s="1">
        <v>70321.11</v>
      </c>
      <c r="P1782" s="1">
        <v>0</v>
      </c>
    </row>
    <row r="1783" spans="1:16">
      <c r="A1783" s="1" t="str">
        <f t="shared" si="572"/>
        <v>20200909</v>
      </c>
      <c r="B1783" s="1"/>
      <c r="C1783" s="1"/>
      <c r="D1783" s="1" t="str">
        <f>"偿还融券费用"</f>
        <v>偿还融券费用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-16.68</v>
      </c>
      <c r="O1783" s="1">
        <v>70304.43</v>
      </c>
      <c r="P1783" s="1">
        <v>0</v>
      </c>
    </row>
    <row r="1784" spans="1:16">
      <c r="A1784" s="1" t="str">
        <f t="shared" si="572"/>
        <v>20200909</v>
      </c>
      <c r="B1784" s="1"/>
      <c r="C1784" s="1"/>
      <c r="D1784" s="1" t="str">
        <f t="shared" ref="D1784:D1789" si="574">"偿还融资利息"</f>
        <v>偿还融资利息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-3.5</v>
      </c>
      <c r="O1784" s="1">
        <v>70300.93</v>
      </c>
      <c r="P1784" s="1">
        <v>0</v>
      </c>
    </row>
    <row r="1785" spans="1:16">
      <c r="A1785" s="1" t="str">
        <f t="shared" si="572"/>
        <v>20200909</v>
      </c>
      <c r="B1785" s="1"/>
      <c r="C1785" s="1"/>
      <c r="D1785" s="1" t="str">
        <f t="shared" ref="D1785:D1788" si="575">"偿还融资负债本金"</f>
        <v>偿还融资负债本金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-3017.97</v>
      </c>
      <c r="O1785" s="1">
        <v>67282.96</v>
      </c>
      <c r="P1785" s="1">
        <v>0</v>
      </c>
    </row>
    <row r="1786" spans="1:16">
      <c r="A1786" s="1" t="str">
        <f t="shared" si="572"/>
        <v>20200909</v>
      </c>
      <c r="B1786" s="1"/>
      <c r="C1786" s="1"/>
      <c r="D1786" s="1" t="str">
        <f t="shared" si="574"/>
        <v>偿还融资利息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-57.22</v>
      </c>
      <c r="O1786" s="1">
        <v>67225.74</v>
      </c>
      <c r="P1786" s="1">
        <v>0</v>
      </c>
    </row>
    <row r="1787" spans="1:16">
      <c r="A1787" s="1" t="str">
        <f t="shared" si="572"/>
        <v>20200909</v>
      </c>
      <c r="B1787" s="1"/>
      <c r="C1787" s="1"/>
      <c r="D1787" s="1" t="str">
        <f t="shared" si="575"/>
        <v>偿还融资负债本金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-9885.75</v>
      </c>
      <c r="O1787" s="1">
        <v>57339.99</v>
      </c>
      <c r="P1787" s="1">
        <v>0</v>
      </c>
    </row>
    <row r="1788" spans="1:16">
      <c r="A1788" s="1" t="str">
        <f t="shared" si="572"/>
        <v>20200909</v>
      </c>
      <c r="B1788" s="1"/>
      <c r="C1788" s="1"/>
      <c r="D1788" s="1" t="str">
        <f t="shared" si="575"/>
        <v>偿还融资负债本金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-3111.01</v>
      </c>
      <c r="O1788" s="1">
        <v>54228.98</v>
      </c>
      <c r="P1788" s="1">
        <v>0</v>
      </c>
    </row>
    <row r="1789" spans="1:16">
      <c r="A1789" s="1" t="str">
        <f t="shared" si="572"/>
        <v>20200909</v>
      </c>
      <c r="B1789" s="1"/>
      <c r="C1789" s="1"/>
      <c r="D1789" s="1" t="str">
        <f t="shared" si="574"/>
        <v>偿还融资利息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-54.12</v>
      </c>
      <c r="O1789" s="1">
        <v>54174.86</v>
      </c>
      <c r="P1789" s="1">
        <v>0</v>
      </c>
    </row>
    <row r="1790" spans="1:16">
      <c r="A1790" s="1" t="str">
        <f t="shared" si="572"/>
        <v>20200909</v>
      </c>
      <c r="B1790" s="1"/>
      <c r="C1790" s="1"/>
      <c r="D1790" s="1" t="str">
        <f t="shared" ref="D1790:D1793" si="576">"偿还融资负债本金"</f>
        <v>偿还融资负债本金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-12276.14</v>
      </c>
      <c r="O1790" s="1">
        <v>41898.72</v>
      </c>
      <c r="P1790" s="1">
        <v>0</v>
      </c>
    </row>
    <row r="1791" spans="1:16">
      <c r="A1791" s="1" t="str">
        <f t="shared" si="572"/>
        <v>20200909</v>
      </c>
      <c r="B1791" s="1"/>
      <c r="C1791" s="1"/>
      <c r="D1791" s="1" t="str">
        <f>"偿还融资利息"</f>
        <v>偿还融资利息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-76.76</v>
      </c>
      <c r="O1791" s="1">
        <v>41821.96</v>
      </c>
      <c r="P1791" s="1">
        <v>0</v>
      </c>
    </row>
    <row r="1792" spans="1:16">
      <c r="A1792" s="1" t="str">
        <f t="shared" si="572"/>
        <v>20200909</v>
      </c>
      <c r="B1792" s="1"/>
      <c r="C1792" s="1"/>
      <c r="D1792" s="1" t="str">
        <f t="shared" si="576"/>
        <v>偿还融资负债本金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-408.01</v>
      </c>
      <c r="O1792" s="1">
        <v>41413.95</v>
      </c>
      <c r="P1792" s="1">
        <v>0</v>
      </c>
    </row>
    <row r="1793" spans="1:16">
      <c r="A1793" s="1" t="str">
        <f t="shared" si="572"/>
        <v>20200909</v>
      </c>
      <c r="B1793" s="1"/>
      <c r="C1793" s="1"/>
      <c r="D1793" s="1" t="str">
        <f t="shared" si="576"/>
        <v>偿还融资负债本金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-13087.44</v>
      </c>
      <c r="O1793" s="1">
        <v>28326.51</v>
      </c>
      <c r="P1793" s="1">
        <v>0</v>
      </c>
    </row>
    <row r="1794" spans="1:16">
      <c r="A1794" s="1" t="str">
        <f>"20200910"</f>
        <v>20200910</v>
      </c>
      <c r="B1794" s="1" t="str">
        <f>"002183"</f>
        <v>002183</v>
      </c>
      <c r="C1794" s="1" t="str">
        <f>"怡 亚 通"</f>
        <v>怡 亚 通</v>
      </c>
      <c r="D1794" s="1" t="str">
        <f>"股息红利差异扣税"</f>
        <v>股息红利差异扣税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-3</v>
      </c>
      <c r="O1794" s="1">
        <v>28323.51</v>
      </c>
      <c r="P1794" s="1">
        <v>0</v>
      </c>
    </row>
    <row r="1795" spans="1:16">
      <c r="A1795" s="1" t="str">
        <f>"20200910"</f>
        <v>20200910</v>
      </c>
      <c r="B1795" s="1" t="str">
        <f t="shared" ref="B1795:B1799" si="577">"000543"</f>
        <v>000543</v>
      </c>
      <c r="C1795" s="1" t="str">
        <f t="shared" ref="C1795:C1799" si="578">"皖能电力"</f>
        <v>皖能电力</v>
      </c>
      <c r="D1795" s="1" t="str">
        <f>"股息红利差异扣税"</f>
        <v>股息红利差异扣税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-71.4</v>
      </c>
      <c r="O1795" s="1">
        <v>28252.11</v>
      </c>
      <c r="P1795" s="1">
        <v>0</v>
      </c>
    </row>
    <row r="1796" spans="1:16">
      <c r="A1796" s="1" t="str">
        <f>"20200914"</f>
        <v>20200914</v>
      </c>
      <c r="B1796" s="1" t="str">
        <f t="shared" si="577"/>
        <v>000543</v>
      </c>
      <c r="C1796" s="1" t="str">
        <f t="shared" si="578"/>
        <v>皖能电力</v>
      </c>
      <c r="D1796" s="1" t="str">
        <f>"融资买入"</f>
        <v>融资买入</v>
      </c>
      <c r="E1796" s="1">
        <v>4.24</v>
      </c>
      <c r="F1796" s="1">
        <v>3000</v>
      </c>
      <c r="G1796" s="1">
        <v>12720</v>
      </c>
      <c r="H1796" s="1">
        <v>6.36</v>
      </c>
      <c r="I1796" s="1">
        <v>5.23</v>
      </c>
      <c r="J1796" s="1">
        <v>0</v>
      </c>
      <c r="K1796" s="1">
        <v>0</v>
      </c>
      <c r="L1796" s="1">
        <v>0</v>
      </c>
      <c r="M1796" s="1">
        <v>0</v>
      </c>
      <c r="N1796" s="1">
        <v>-12726.36</v>
      </c>
      <c r="O1796" s="1">
        <v>15525.75</v>
      </c>
      <c r="P1796" s="1">
        <v>22000</v>
      </c>
    </row>
    <row r="1797" spans="1:16">
      <c r="A1797" s="1" t="str">
        <f>"20200914"</f>
        <v>20200914</v>
      </c>
      <c r="B1797" s="1"/>
      <c r="C1797" s="1"/>
      <c r="D1797" s="1" t="str">
        <f>"融资借入"</f>
        <v>融资借入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12726.36</v>
      </c>
      <c r="O1797" s="1">
        <v>28252.11</v>
      </c>
      <c r="P1797" s="1">
        <v>0</v>
      </c>
    </row>
    <row r="1798" spans="1:16">
      <c r="A1798" s="1" t="str">
        <f t="shared" ref="A1798:A1813" si="579">"20200918"</f>
        <v>20200918</v>
      </c>
      <c r="B1798" s="1"/>
      <c r="C1798" s="1"/>
      <c r="D1798" s="1" t="str">
        <f>"利息归本"</f>
        <v>利息归本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21.86</v>
      </c>
      <c r="O1798" s="1">
        <v>28273.97</v>
      </c>
      <c r="P1798" s="1">
        <v>0</v>
      </c>
    </row>
    <row r="1799" spans="1:16">
      <c r="A1799" s="1" t="str">
        <f t="shared" si="579"/>
        <v>20200918</v>
      </c>
      <c r="B1799" s="1" t="str">
        <f t="shared" si="577"/>
        <v>000543</v>
      </c>
      <c r="C1799" s="1" t="str">
        <f t="shared" si="578"/>
        <v>皖能电力</v>
      </c>
      <c r="D1799" s="1" t="str">
        <f>"卖券还款"</f>
        <v>卖券还款</v>
      </c>
      <c r="E1799" s="1">
        <v>4.35</v>
      </c>
      <c r="F1799" s="1">
        <v>3000</v>
      </c>
      <c r="G1799" s="1">
        <v>13050</v>
      </c>
      <c r="H1799" s="1">
        <v>6.53</v>
      </c>
      <c r="I1799" s="1">
        <v>5.37</v>
      </c>
      <c r="J1799" s="1">
        <v>13.05</v>
      </c>
      <c r="K1799" s="1">
        <v>0</v>
      </c>
      <c r="L1799" s="1">
        <v>0</v>
      </c>
      <c r="M1799" s="1">
        <v>0</v>
      </c>
      <c r="N1799" s="1">
        <v>13030.42</v>
      </c>
      <c r="O1799" s="1">
        <v>41304.39</v>
      </c>
      <c r="P1799" s="1">
        <v>19000</v>
      </c>
    </row>
    <row r="1800" spans="1:16">
      <c r="A1800" s="1" t="str">
        <f t="shared" si="579"/>
        <v>20200918</v>
      </c>
      <c r="B1800" s="1"/>
      <c r="C1800" s="1"/>
      <c r="D1800" s="1" t="str">
        <f>"偿还融券费用"</f>
        <v>偿还融券费用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-29.36</v>
      </c>
      <c r="O1800" s="1">
        <v>41275.03</v>
      </c>
      <c r="P1800" s="1">
        <v>0</v>
      </c>
    </row>
    <row r="1801" spans="1:16">
      <c r="A1801" s="1" t="str">
        <f t="shared" si="579"/>
        <v>20200918</v>
      </c>
      <c r="B1801" s="1"/>
      <c r="C1801" s="1"/>
      <c r="D1801" s="1" t="str">
        <f>"偿还融券费用"</f>
        <v>偿还融券费用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-29.36</v>
      </c>
      <c r="O1801" s="1">
        <v>41245.67</v>
      </c>
      <c r="P1801" s="1">
        <v>0</v>
      </c>
    </row>
    <row r="1802" spans="1:16">
      <c r="A1802" s="1" t="str">
        <f t="shared" si="579"/>
        <v>20200918</v>
      </c>
      <c r="B1802" s="1"/>
      <c r="C1802" s="1"/>
      <c r="D1802" s="1" t="str">
        <f>"偿还融资利息"</f>
        <v>偿还融资利息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-8.19</v>
      </c>
      <c r="O1802" s="1">
        <v>41237.48</v>
      </c>
      <c r="P1802" s="1">
        <v>0</v>
      </c>
    </row>
    <row r="1803" spans="1:16">
      <c r="A1803" s="1" t="str">
        <f t="shared" si="579"/>
        <v>20200918</v>
      </c>
      <c r="B1803" s="1"/>
      <c r="C1803" s="1"/>
      <c r="D1803" s="1" t="str">
        <f>"偿还融资负债本金"</f>
        <v>偿还融资负债本金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-3913.25</v>
      </c>
      <c r="O1803" s="1">
        <v>37324.23</v>
      </c>
      <c r="P1803" s="1">
        <v>0</v>
      </c>
    </row>
    <row r="1804" spans="1:16">
      <c r="A1804" s="1" t="str">
        <f t="shared" si="579"/>
        <v>20200918</v>
      </c>
      <c r="B1804" s="1"/>
      <c r="C1804" s="1"/>
      <c r="D1804" s="1" t="str">
        <f t="shared" ref="D1804:D1813" si="580">"偿还融资利息"</f>
        <v>偿还融资利息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-80.36</v>
      </c>
      <c r="O1804" s="1">
        <v>37243.87</v>
      </c>
      <c r="P1804" s="1">
        <v>0</v>
      </c>
    </row>
    <row r="1805" spans="1:16">
      <c r="A1805" s="1" t="str">
        <f t="shared" si="579"/>
        <v>20200918</v>
      </c>
      <c r="B1805" s="1"/>
      <c r="C1805" s="1"/>
      <c r="D1805" s="1" t="str">
        <f>"偿还融资负债本金"</f>
        <v>偿还融资负债本金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-8937.28</v>
      </c>
      <c r="O1805" s="1">
        <v>28306.59</v>
      </c>
      <c r="P1805" s="1">
        <v>0</v>
      </c>
    </row>
    <row r="1806" spans="1:16">
      <c r="A1806" s="1" t="str">
        <f t="shared" si="579"/>
        <v>20200918</v>
      </c>
      <c r="B1806" s="1"/>
      <c r="C1806" s="1"/>
      <c r="D1806" s="1" t="str">
        <f>"偿还融券费用"</f>
        <v>偿还融券费用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-3.35</v>
      </c>
      <c r="O1806" s="1">
        <v>28303.24</v>
      </c>
      <c r="P1806" s="1">
        <v>0</v>
      </c>
    </row>
    <row r="1807" spans="1:16">
      <c r="A1807" s="1" t="str">
        <f t="shared" si="579"/>
        <v>20200918</v>
      </c>
      <c r="B1807" s="1"/>
      <c r="C1807" s="1"/>
      <c r="D1807" s="1" t="str">
        <f>"偿还融券费用"</f>
        <v>偿还融券费用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-3.35</v>
      </c>
      <c r="O1807" s="1">
        <v>28299.89</v>
      </c>
      <c r="P1807" s="1">
        <v>0</v>
      </c>
    </row>
    <row r="1808" spans="1:16">
      <c r="A1808" s="1" t="str">
        <f t="shared" si="579"/>
        <v>20200918</v>
      </c>
      <c r="B1808" s="1"/>
      <c r="C1808" s="1"/>
      <c r="D1808" s="1" t="str">
        <f t="shared" si="580"/>
        <v>偿还融资利息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-0.8</v>
      </c>
      <c r="O1808" s="1">
        <v>28299.09</v>
      </c>
      <c r="P1808" s="1">
        <v>0</v>
      </c>
    </row>
    <row r="1809" spans="1:16">
      <c r="A1809" s="1" t="str">
        <f t="shared" si="579"/>
        <v>20200918</v>
      </c>
      <c r="B1809" s="1"/>
      <c r="C1809" s="1"/>
      <c r="D1809" s="1" t="str">
        <f t="shared" si="580"/>
        <v>偿还融资利息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-125.57</v>
      </c>
      <c r="O1809" s="1">
        <v>28173.52</v>
      </c>
      <c r="P1809" s="1">
        <v>0</v>
      </c>
    </row>
    <row r="1810" spans="1:16">
      <c r="A1810" s="1" t="str">
        <f t="shared" si="579"/>
        <v>20200918</v>
      </c>
      <c r="B1810" s="1"/>
      <c r="C1810" s="1"/>
      <c r="D1810" s="1" t="str">
        <f t="shared" si="580"/>
        <v>偿还融资利息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-85.84</v>
      </c>
      <c r="O1810" s="1">
        <v>28087.68</v>
      </c>
      <c r="P1810" s="1">
        <v>0</v>
      </c>
    </row>
    <row r="1811" spans="1:16">
      <c r="A1811" s="1" t="str">
        <f t="shared" si="579"/>
        <v>20200918</v>
      </c>
      <c r="B1811" s="1"/>
      <c r="C1811" s="1"/>
      <c r="D1811" s="1" t="str">
        <f t="shared" si="580"/>
        <v>偿还融资利息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-35.4</v>
      </c>
      <c r="O1811" s="1">
        <v>28052.28</v>
      </c>
      <c r="P1811" s="1">
        <v>0</v>
      </c>
    </row>
    <row r="1812" spans="1:16">
      <c r="A1812" s="1" t="str">
        <f t="shared" si="579"/>
        <v>20200918</v>
      </c>
      <c r="B1812" s="1"/>
      <c r="C1812" s="1"/>
      <c r="D1812" s="1" t="str">
        <f t="shared" si="580"/>
        <v>偿还融资利息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-39.94</v>
      </c>
      <c r="O1812" s="1">
        <v>28012.34</v>
      </c>
      <c r="P1812" s="1">
        <v>0</v>
      </c>
    </row>
    <row r="1813" spans="1:16">
      <c r="A1813" s="1" t="str">
        <f t="shared" si="579"/>
        <v>20200918</v>
      </c>
      <c r="B1813" s="1"/>
      <c r="C1813" s="1"/>
      <c r="D1813" s="1" t="str">
        <f t="shared" si="580"/>
        <v>偿还融资利息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-14.75</v>
      </c>
      <c r="O1813" s="1">
        <v>27997.59</v>
      </c>
      <c r="P1813" s="1">
        <v>0</v>
      </c>
    </row>
    <row r="1814" spans="1:16">
      <c r="A1814" s="1" t="str">
        <f>"20200921"</f>
        <v>20200921</v>
      </c>
      <c r="B1814" s="1" t="str">
        <f t="shared" ref="B1814:B1820" si="581">"000543"</f>
        <v>000543</v>
      </c>
      <c r="C1814" s="1" t="str">
        <f t="shared" ref="C1814:C1820" si="582">"皖能电力"</f>
        <v>皖能电力</v>
      </c>
      <c r="D1814" s="1" t="str">
        <f>"股息红利差异扣税"</f>
        <v>股息红利差异扣税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-35.7</v>
      </c>
      <c r="O1814" s="1">
        <v>27961.89</v>
      </c>
      <c r="P1814" s="1">
        <v>0</v>
      </c>
    </row>
    <row r="1815" spans="1:16">
      <c r="A1815" s="1" t="str">
        <f>"20200925"</f>
        <v>20200925</v>
      </c>
      <c r="B1815" s="1" t="str">
        <f t="shared" si="581"/>
        <v>000543</v>
      </c>
      <c r="C1815" s="1" t="str">
        <f t="shared" si="582"/>
        <v>皖能电力</v>
      </c>
      <c r="D1815" s="1" t="str">
        <f>"融资买入"</f>
        <v>融资买入</v>
      </c>
      <c r="E1815" s="1">
        <v>4.24</v>
      </c>
      <c r="F1815" s="1">
        <v>3000</v>
      </c>
      <c r="G1815" s="1">
        <v>12720</v>
      </c>
      <c r="H1815" s="1">
        <v>6.36</v>
      </c>
      <c r="I1815" s="1">
        <v>5.23</v>
      </c>
      <c r="J1815" s="1">
        <v>0</v>
      </c>
      <c r="K1815" s="1">
        <v>0</v>
      </c>
      <c r="L1815" s="1">
        <v>0</v>
      </c>
      <c r="M1815" s="1">
        <v>0</v>
      </c>
      <c r="N1815" s="1">
        <v>-12726.36</v>
      </c>
      <c r="O1815" s="1">
        <v>15235.53</v>
      </c>
      <c r="P1815" s="1">
        <v>22000</v>
      </c>
    </row>
    <row r="1816" spans="1:16">
      <c r="A1816" s="1" t="str">
        <f>"20200925"</f>
        <v>20200925</v>
      </c>
      <c r="B1816" s="1"/>
      <c r="C1816" s="1"/>
      <c r="D1816" s="1" t="str">
        <f>"融资借入"</f>
        <v>融资借入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12726.36</v>
      </c>
      <c r="O1816" s="1">
        <v>27961.89</v>
      </c>
      <c r="P1816" s="1">
        <v>0</v>
      </c>
    </row>
    <row r="1817" spans="1:16">
      <c r="A1817" s="1" t="str">
        <f>"20201019"</f>
        <v>20201019</v>
      </c>
      <c r="B1817" s="1"/>
      <c r="C1817" s="1"/>
      <c r="D1817" s="1" t="str">
        <f>"证券转银行"</f>
        <v>证券转银行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-3000</v>
      </c>
      <c r="O1817" s="1">
        <v>24961.89</v>
      </c>
      <c r="P1817" s="1">
        <v>0</v>
      </c>
    </row>
    <row r="1818" spans="1:16">
      <c r="A1818" s="1" t="str">
        <f>"20201019"</f>
        <v>20201019</v>
      </c>
      <c r="B1818" s="1" t="str">
        <f t="shared" si="581"/>
        <v>000543</v>
      </c>
      <c r="C1818" s="1" t="str">
        <f t="shared" si="582"/>
        <v>皖能电力</v>
      </c>
      <c r="D1818" s="1" t="str">
        <f>"担保品卖出"</f>
        <v>担保品卖出</v>
      </c>
      <c r="E1818" s="1">
        <v>4.38</v>
      </c>
      <c r="F1818" s="1">
        <v>3000</v>
      </c>
      <c r="G1818" s="1">
        <v>13140</v>
      </c>
      <c r="H1818" s="1">
        <v>5</v>
      </c>
      <c r="I1818" s="1">
        <v>3.84</v>
      </c>
      <c r="J1818" s="1">
        <v>13.14</v>
      </c>
      <c r="K1818" s="1">
        <v>0</v>
      </c>
      <c r="L1818" s="1">
        <v>0</v>
      </c>
      <c r="M1818" s="1">
        <v>0</v>
      </c>
      <c r="N1818" s="1">
        <v>13121.86</v>
      </c>
      <c r="O1818" s="1">
        <v>38083.75</v>
      </c>
      <c r="P1818" s="1">
        <v>19000</v>
      </c>
    </row>
    <row r="1819" spans="1:16">
      <c r="A1819" s="1" t="str">
        <f t="shared" ref="A1819:A1831" si="583">"20201020"</f>
        <v>20201020</v>
      </c>
      <c r="B1819" s="1" t="str">
        <f t="shared" si="581"/>
        <v>000543</v>
      </c>
      <c r="C1819" s="1" t="str">
        <f t="shared" si="582"/>
        <v>皖能电力</v>
      </c>
      <c r="D1819" s="1" t="str">
        <f>"股息红利差异扣税"</f>
        <v>股息红利差异扣税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-35.7</v>
      </c>
      <c r="O1819" s="1">
        <v>38048.05</v>
      </c>
      <c r="P1819" s="1">
        <v>0</v>
      </c>
    </row>
    <row r="1820" spans="1:16">
      <c r="A1820" s="1" t="str">
        <f t="shared" si="583"/>
        <v>20201020</v>
      </c>
      <c r="B1820" s="1" t="str">
        <f t="shared" si="581"/>
        <v>000543</v>
      </c>
      <c r="C1820" s="1" t="str">
        <f t="shared" si="582"/>
        <v>皖能电力</v>
      </c>
      <c r="D1820" s="1" t="str">
        <f>"融资买入"</f>
        <v>融资买入</v>
      </c>
      <c r="E1820" s="1">
        <v>4.24</v>
      </c>
      <c r="F1820" s="1">
        <v>3000</v>
      </c>
      <c r="G1820" s="1">
        <v>12720</v>
      </c>
      <c r="H1820" s="1">
        <v>6.36</v>
      </c>
      <c r="I1820" s="1">
        <v>5.24</v>
      </c>
      <c r="J1820" s="1">
        <v>0</v>
      </c>
      <c r="K1820" s="1">
        <v>0</v>
      </c>
      <c r="L1820" s="1">
        <v>0</v>
      </c>
      <c r="M1820" s="1">
        <v>0</v>
      </c>
      <c r="N1820" s="1">
        <v>-12726.36</v>
      </c>
      <c r="O1820" s="1">
        <v>25321.69</v>
      </c>
      <c r="P1820" s="1">
        <v>22000</v>
      </c>
    </row>
    <row r="1821" spans="1:16">
      <c r="A1821" s="1" t="str">
        <f t="shared" si="583"/>
        <v>20201020</v>
      </c>
      <c r="B1821" s="1"/>
      <c r="C1821" s="1"/>
      <c r="D1821" s="1" t="str">
        <f>"融资借入"</f>
        <v>融资借入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12726.36</v>
      </c>
      <c r="O1821" s="1">
        <v>38048.05</v>
      </c>
      <c r="P1821" s="1">
        <v>0</v>
      </c>
    </row>
    <row r="1822" spans="1:16">
      <c r="A1822" s="1" t="str">
        <f t="shared" si="583"/>
        <v>20201020</v>
      </c>
      <c r="B1822" s="1"/>
      <c r="C1822" s="1"/>
      <c r="D1822" s="1" t="str">
        <f>"偿还融券费用"</f>
        <v>偿还融券费用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-105.4</v>
      </c>
      <c r="O1822" s="1">
        <v>37942.65</v>
      </c>
      <c r="P1822" s="1">
        <v>0</v>
      </c>
    </row>
    <row r="1823" spans="1:16">
      <c r="A1823" s="1" t="str">
        <f t="shared" si="583"/>
        <v>20201020</v>
      </c>
      <c r="B1823" s="1"/>
      <c r="C1823" s="1"/>
      <c r="D1823" s="1" t="str">
        <f>"偿还融券费用"</f>
        <v>偿还融券费用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-105.4</v>
      </c>
      <c r="O1823" s="1">
        <v>37837.25</v>
      </c>
      <c r="P1823" s="1">
        <v>0</v>
      </c>
    </row>
    <row r="1824" spans="1:16">
      <c r="A1824" s="1" t="str">
        <f t="shared" si="583"/>
        <v>20201020</v>
      </c>
      <c r="B1824" s="1"/>
      <c r="C1824" s="1"/>
      <c r="D1824" s="1" t="str">
        <f t="shared" ref="D1824:D1831" si="584">"偿还融资利息"</f>
        <v>偿还融资利息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-25.52</v>
      </c>
      <c r="O1824" s="1">
        <v>37811.73</v>
      </c>
      <c r="P1824" s="1">
        <v>0</v>
      </c>
    </row>
    <row r="1825" spans="1:16">
      <c r="A1825" s="1" t="str">
        <f t="shared" si="583"/>
        <v>20201020</v>
      </c>
      <c r="B1825" s="1"/>
      <c r="C1825" s="1"/>
      <c r="D1825" s="1" t="str">
        <f t="shared" si="584"/>
        <v>偿还融资利息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-138.56</v>
      </c>
      <c r="O1825" s="1">
        <v>37673.17</v>
      </c>
      <c r="P1825" s="1">
        <v>0</v>
      </c>
    </row>
    <row r="1826" spans="1:16">
      <c r="A1826" s="1" t="str">
        <f t="shared" si="583"/>
        <v>20201020</v>
      </c>
      <c r="B1826" s="1"/>
      <c r="C1826" s="1"/>
      <c r="D1826" s="1" t="str">
        <f t="shared" si="584"/>
        <v>偿还融资利息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-94.71</v>
      </c>
      <c r="O1826" s="1">
        <v>37578.46</v>
      </c>
      <c r="P1826" s="1">
        <v>0</v>
      </c>
    </row>
    <row r="1827" spans="1:16">
      <c r="A1827" s="1" t="str">
        <f t="shared" si="583"/>
        <v>20201020</v>
      </c>
      <c r="B1827" s="1"/>
      <c r="C1827" s="1"/>
      <c r="D1827" s="1" t="str">
        <f t="shared" si="584"/>
        <v>偿还融资利息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-94.41</v>
      </c>
      <c r="O1827" s="1">
        <v>37484.05</v>
      </c>
      <c r="P1827" s="1">
        <v>0</v>
      </c>
    </row>
    <row r="1828" spans="1:16">
      <c r="A1828" s="1" t="str">
        <f t="shared" si="583"/>
        <v>20201020</v>
      </c>
      <c r="B1828" s="1"/>
      <c r="C1828" s="1"/>
      <c r="D1828" s="1" t="str">
        <f t="shared" si="584"/>
        <v>偿还融资利息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-116.23</v>
      </c>
      <c r="O1828" s="1">
        <v>37367.82</v>
      </c>
      <c r="P1828" s="1">
        <v>0</v>
      </c>
    </row>
    <row r="1829" spans="1:16">
      <c r="A1829" s="1" t="str">
        <f t="shared" si="583"/>
        <v>20201020</v>
      </c>
      <c r="B1829" s="1"/>
      <c r="C1829" s="1"/>
      <c r="D1829" s="1" t="str">
        <f t="shared" si="584"/>
        <v>偿还融资利息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-94.41</v>
      </c>
      <c r="O1829" s="1">
        <v>37273.41</v>
      </c>
      <c r="P1829" s="1">
        <v>0</v>
      </c>
    </row>
    <row r="1830" spans="1:16">
      <c r="A1830" s="1" t="str">
        <f t="shared" si="583"/>
        <v>20201020</v>
      </c>
      <c r="B1830" s="1"/>
      <c r="C1830" s="1"/>
      <c r="D1830" s="1" t="str">
        <f t="shared" si="584"/>
        <v>偿还融资利息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-76.71</v>
      </c>
      <c r="O1830" s="1">
        <v>37196.7</v>
      </c>
      <c r="P1830" s="1">
        <v>0</v>
      </c>
    </row>
    <row r="1831" spans="1:16">
      <c r="A1831" s="1" t="str">
        <f t="shared" si="583"/>
        <v>20201020</v>
      </c>
      <c r="B1831" s="1"/>
      <c r="C1831" s="1"/>
      <c r="D1831" s="1" t="str">
        <f t="shared" si="584"/>
        <v>偿还融资利息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-2.95</v>
      </c>
      <c r="O1831" s="1">
        <v>37193.75</v>
      </c>
      <c r="P1831" s="1">
        <v>0</v>
      </c>
    </row>
    <row r="1832" spans="1:16">
      <c r="A1832" s="1" t="str">
        <f>"20201022"</f>
        <v>20201022</v>
      </c>
      <c r="B1832" s="1" t="str">
        <f>"600028"</f>
        <v>600028</v>
      </c>
      <c r="C1832" s="1" t="str">
        <f>"中国石化"</f>
        <v>中国石化</v>
      </c>
      <c r="D1832" s="1" t="str">
        <f>"红利入账"</f>
        <v>红利入账</v>
      </c>
      <c r="E1832" s="1">
        <v>0</v>
      </c>
      <c r="F1832" s="1">
        <v>15700</v>
      </c>
      <c r="G1832" s="1">
        <v>1099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1099</v>
      </c>
      <c r="O1832" s="1">
        <v>38292.75</v>
      </c>
      <c r="P1832" s="1">
        <v>0</v>
      </c>
    </row>
    <row r="1833" spans="1:16">
      <c r="A1833" s="1" t="str">
        <f t="shared" ref="A1833:A1836" si="585">"20201023"</f>
        <v>20201023</v>
      </c>
      <c r="B1833" s="1"/>
      <c r="C1833" s="1"/>
      <c r="D1833" s="1" t="str">
        <f>"偿还融券费用"</f>
        <v>偿还融券费用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-6.75</v>
      </c>
      <c r="O1833" s="1">
        <v>38286</v>
      </c>
      <c r="P1833" s="1">
        <v>0</v>
      </c>
    </row>
    <row r="1834" spans="1:16">
      <c r="A1834" s="1" t="str">
        <f t="shared" si="585"/>
        <v>20201023</v>
      </c>
      <c r="B1834" s="1"/>
      <c r="C1834" s="1"/>
      <c r="D1834" s="1" t="str">
        <f>"偿还融券费用"</f>
        <v>偿还融券费用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-6.75</v>
      </c>
      <c r="O1834" s="1">
        <v>38279.25</v>
      </c>
      <c r="P1834" s="1">
        <v>0</v>
      </c>
    </row>
    <row r="1835" spans="1:16">
      <c r="A1835" s="1" t="str">
        <f t="shared" si="585"/>
        <v>20201023</v>
      </c>
      <c r="B1835" s="1"/>
      <c r="C1835" s="1"/>
      <c r="D1835" s="1" t="str">
        <f>"偿还融资利息"</f>
        <v>偿还融资利息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-1.6</v>
      </c>
      <c r="O1835" s="1">
        <v>38277.65</v>
      </c>
      <c r="P1835" s="1">
        <v>0</v>
      </c>
    </row>
    <row r="1836" spans="1:16">
      <c r="A1836" s="1" t="str">
        <f t="shared" si="585"/>
        <v>20201023</v>
      </c>
      <c r="B1836" s="1"/>
      <c r="C1836" s="1"/>
      <c r="D1836" s="1" t="str">
        <f>"偿还融资负债本金"</f>
        <v>偿还融资负债本金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-1184.9</v>
      </c>
      <c r="O1836" s="1">
        <v>37092.75</v>
      </c>
      <c r="P1836" s="1">
        <v>0</v>
      </c>
    </row>
    <row r="1837" spans="1:16">
      <c r="A1837" s="1" t="str">
        <f>"20201027"</f>
        <v>20201027</v>
      </c>
      <c r="B1837" s="1" t="str">
        <f>"002183"</f>
        <v>002183</v>
      </c>
      <c r="C1837" s="1" t="str">
        <f>"怡 亚 通"</f>
        <v>怡 亚 通</v>
      </c>
      <c r="D1837" s="1" t="str">
        <f t="shared" ref="D1837:D1842" si="586">"融资买入"</f>
        <v>融资买入</v>
      </c>
      <c r="E1837" s="1">
        <v>5.13</v>
      </c>
      <c r="F1837" s="1">
        <v>3000</v>
      </c>
      <c r="G1837" s="1">
        <v>15390</v>
      </c>
      <c r="H1837" s="1">
        <v>7.7</v>
      </c>
      <c r="I1837" s="1">
        <v>6.33</v>
      </c>
      <c r="J1837" s="1">
        <v>0</v>
      </c>
      <c r="K1837" s="1">
        <v>0</v>
      </c>
      <c r="L1837" s="1">
        <v>0</v>
      </c>
      <c r="M1837" s="1">
        <v>0</v>
      </c>
      <c r="N1837" s="1">
        <v>-15397.7</v>
      </c>
      <c r="O1837" s="1">
        <v>21695.05</v>
      </c>
      <c r="P1837" s="1">
        <v>15500</v>
      </c>
    </row>
    <row r="1838" spans="1:16">
      <c r="A1838" s="1" t="str">
        <f>"20201027"</f>
        <v>20201027</v>
      </c>
      <c r="B1838" s="1"/>
      <c r="C1838" s="1"/>
      <c r="D1838" s="1" t="str">
        <f t="shared" ref="D1838:D1843" si="587">"融资借入"</f>
        <v>融资借入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15397.7</v>
      </c>
      <c r="O1838" s="1">
        <v>37092.75</v>
      </c>
      <c r="P1838" s="1">
        <v>0</v>
      </c>
    </row>
    <row r="1839" spans="1:16">
      <c r="A1839" s="1" t="str">
        <f>"20201029"</f>
        <v>20201029</v>
      </c>
      <c r="B1839" s="1" t="str">
        <f>"000543"</f>
        <v>000543</v>
      </c>
      <c r="C1839" s="1" t="str">
        <f>"皖能电力"</f>
        <v>皖能电力</v>
      </c>
      <c r="D1839" s="1" t="str">
        <f t="shared" si="586"/>
        <v>融资买入</v>
      </c>
      <c r="E1839" s="1">
        <v>4.12</v>
      </c>
      <c r="F1839" s="1">
        <v>3000</v>
      </c>
      <c r="G1839" s="1">
        <v>12360</v>
      </c>
      <c r="H1839" s="1">
        <v>6.18</v>
      </c>
      <c r="I1839" s="1">
        <v>5.08</v>
      </c>
      <c r="J1839" s="1">
        <v>0</v>
      </c>
      <c r="K1839" s="1">
        <v>0</v>
      </c>
      <c r="L1839" s="1">
        <v>0</v>
      </c>
      <c r="M1839" s="1">
        <v>0</v>
      </c>
      <c r="N1839" s="1">
        <v>-12366.18</v>
      </c>
      <c r="O1839" s="1">
        <v>24726.57</v>
      </c>
      <c r="P1839" s="1">
        <v>25000</v>
      </c>
    </row>
    <row r="1840" spans="1:16">
      <c r="A1840" s="1" t="str">
        <f>"20201029"</f>
        <v>20201029</v>
      </c>
      <c r="B1840" s="1"/>
      <c r="C1840" s="1"/>
      <c r="D1840" s="1" t="str">
        <f t="shared" si="587"/>
        <v>融资借入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12366.18</v>
      </c>
      <c r="O1840" s="1">
        <v>37092.75</v>
      </c>
      <c r="P1840" s="1">
        <v>0</v>
      </c>
    </row>
    <row r="1841" spans="1:16">
      <c r="A1841" s="1" t="str">
        <f>"20201030"</f>
        <v>20201030</v>
      </c>
      <c r="B1841" s="1" t="str">
        <f>"003016"</f>
        <v>003016</v>
      </c>
      <c r="C1841" s="1" t="str">
        <f>"欣贺股份"</f>
        <v>欣贺股份</v>
      </c>
      <c r="D1841" s="1" t="str">
        <f>"担保品买入"</f>
        <v>担保品买入</v>
      </c>
      <c r="E1841" s="1">
        <v>11.03</v>
      </c>
      <c r="F1841" s="1">
        <v>500</v>
      </c>
      <c r="G1841" s="1">
        <v>5515</v>
      </c>
      <c r="H1841" s="1">
        <v>5</v>
      </c>
      <c r="I1841" s="1">
        <v>4.51</v>
      </c>
      <c r="J1841" s="1">
        <v>0</v>
      </c>
      <c r="K1841" s="1">
        <v>0</v>
      </c>
      <c r="L1841" s="1">
        <v>0</v>
      </c>
      <c r="M1841" s="1">
        <v>0</v>
      </c>
      <c r="N1841" s="1">
        <v>-5520</v>
      </c>
      <c r="O1841" s="1">
        <v>31572.75</v>
      </c>
      <c r="P1841" s="1">
        <v>500</v>
      </c>
    </row>
    <row r="1842" spans="1:16">
      <c r="A1842" s="1" t="str">
        <f>"20201104"</f>
        <v>20201104</v>
      </c>
      <c r="B1842" s="1" t="str">
        <f>"000543"</f>
        <v>000543</v>
      </c>
      <c r="C1842" s="1" t="str">
        <f>"皖能电力"</f>
        <v>皖能电力</v>
      </c>
      <c r="D1842" s="1" t="str">
        <f t="shared" si="586"/>
        <v>融资买入</v>
      </c>
      <c r="E1842" s="1">
        <v>3.97</v>
      </c>
      <c r="F1842" s="1">
        <v>4000</v>
      </c>
      <c r="G1842" s="1">
        <v>15880</v>
      </c>
      <c r="H1842" s="1">
        <v>7.94</v>
      </c>
      <c r="I1842" s="1">
        <v>6.53</v>
      </c>
      <c r="J1842" s="1">
        <v>0</v>
      </c>
      <c r="K1842" s="1">
        <v>0</v>
      </c>
      <c r="L1842" s="1">
        <v>0</v>
      </c>
      <c r="M1842" s="1">
        <v>0</v>
      </c>
      <c r="N1842" s="1">
        <v>-15887.94</v>
      </c>
      <c r="O1842" s="1">
        <v>15684.81</v>
      </c>
      <c r="P1842" s="1">
        <v>29000</v>
      </c>
    </row>
    <row r="1843" spans="1:16">
      <c r="A1843" s="1" t="str">
        <f>"20201104"</f>
        <v>20201104</v>
      </c>
      <c r="B1843" s="1"/>
      <c r="C1843" s="1"/>
      <c r="D1843" s="1" t="str">
        <f t="shared" si="587"/>
        <v>融资借入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15887.94</v>
      </c>
      <c r="O1843" s="1">
        <v>31572.75</v>
      </c>
      <c r="P1843" s="1">
        <v>0</v>
      </c>
    </row>
    <row r="1844" spans="1:16">
      <c r="A1844" s="1" t="str">
        <f>"20201106"</f>
        <v>20201106</v>
      </c>
      <c r="B1844" s="1" t="str">
        <f>"600575"</f>
        <v>600575</v>
      </c>
      <c r="C1844" s="1" t="str">
        <f>"淮河能源"</f>
        <v>淮河能源</v>
      </c>
      <c r="D1844" s="1" t="str">
        <f>"担保品买入"</f>
        <v>担保品买入</v>
      </c>
      <c r="E1844" s="1">
        <v>2.17</v>
      </c>
      <c r="F1844" s="1">
        <v>3000</v>
      </c>
      <c r="G1844" s="1">
        <v>6510</v>
      </c>
      <c r="H1844" s="1">
        <v>5</v>
      </c>
      <c r="I1844" s="1">
        <v>4.55</v>
      </c>
      <c r="J1844" s="1">
        <v>0</v>
      </c>
      <c r="K1844" s="1">
        <v>0.13</v>
      </c>
      <c r="L1844" s="1">
        <v>0</v>
      </c>
      <c r="M1844" s="1">
        <v>0</v>
      </c>
      <c r="N1844" s="1">
        <v>-6515.13</v>
      </c>
      <c r="O1844" s="1">
        <v>25057.62</v>
      </c>
      <c r="P1844" s="1">
        <v>3000</v>
      </c>
    </row>
    <row r="1845" spans="1:16">
      <c r="A1845" s="1" t="str">
        <f>"20201110"</f>
        <v>20201110</v>
      </c>
      <c r="B1845" s="1"/>
      <c r="C1845" s="1"/>
      <c r="D1845" s="1" t="str">
        <f>"银行转证券"</f>
        <v>银行转证券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3028</v>
      </c>
      <c r="O1845" s="1">
        <v>28085.62</v>
      </c>
      <c r="P1845" s="1">
        <v>0</v>
      </c>
    </row>
    <row r="1846" spans="1:16">
      <c r="A1846" s="1" t="str">
        <f t="shared" ref="A1846:A1854" si="588">"20201116"</f>
        <v>20201116</v>
      </c>
      <c r="B1846" s="1" t="str">
        <f>"000543"</f>
        <v>000543</v>
      </c>
      <c r="C1846" s="1" t="str">
        <f>"皖能电力"</f>
        <v>皖能电力</v>
      </c>
      <c r="D1846" s="1" t="str">
        <f>"担保品卖出"</f>
        <v>担保品卖出</v>
      </c>
      <c r="E1846" s="1">
        <v>4.06</v>
      </c>
      <c r="F1846" s="1">
        <v>4000</v>
      </c>
      <c r="G1846" s="1">
        <v>16240</v>
      </c>
      <c r="H1846" s="1">
        <v>5.03</v>
      </c>
      <c r="I1846" s="1">
        <v>3.6</v>
      </c>
      <c r="J1846" s="1">
        <v>16.24</v>
      </c>
      <c r="K1846" s="1">
        <v>0</v>
      </c>
      <c r="L1846" s="1">
        <v>0</v>
      </c>
      <c r="M1846" s="1">
        <v>0</v>
      </c>
      <c r="N1846" s="1">
        <v>16218.73</v>
      </c>
      <c r="O1846" s="1">
        <v>44304.35</v>
      </c>
      <c r="P1846" s="1">
        <v>25000</v>
      </c>
    </row>
    <row r="1847" spans="1:16">
      <c r="A1847" s="1" t="str">
        <f t="shared" si="588"/>
        <v>20201116</v>
      </c>
      <c r="B1847" s="1" t="str">
        <f>"600575"</f>
        <v>600575</v>
      </c>
      <c r="C1847" s="1" t="str">
        <f>"淮河能源"</f>
        <v>淮河能源</v>
      </c>
      <c r="D1847" s="1" t="str">
        <f>"担保品卖出"</f>
        <v>担保品卖出</v>
      </c>
      <c r="E1847" s="1">
        <v>2.22</v>
      </c>
      <c r="F1847" s="1">
        <v>3000</v>
      </c>
      <c r="G1847" s="1">
        <v>6660</v>
      </c>
      <c r="H1847" s="1">
        <v>5</v>
      </c>
      <c r="I1847" s="1">
        <v>4.56</v>
      </c>
      <c r="J1847" s="1">
        <v>6.66</v>
      </c>
      <c r="K1847" s="1">
        <v>0.12</v>
      </c>
      <c r="L1847" s="1">
        <v>0</v>
      </c>
      <c r="M1847" s="1">
        <v>0</v>
      </c>
      <c r="N1847" s="1">
        <v>6648.22</v>
      </c>
      <c r="O1847" s="1">
        <v>50952.57</v>
      </c>
      <c r="P1847" s="1">
        <v>0</v>
      </c>
    </row>
    <row r="1848" spans="1:16">
      <c r="A1848" s="1" t="str">
        <f t="shared" si="588"/>
        <v>20201116</v>
      </c>
      <c r="B1848" s="1" t="str">
        <f>"003016"</f>
        <v>003016</v>
      </c>
      <c r="C1848" s="1" t="str">
        <f>"欣贺股份"</f>
        <v>欣贺股份</v>
      </c>
      <c r="D1848" s="1" t="str">
        <f>"担保品买入"</f>
        <v>担保品买入</v>
      </c>
      <c r="E1848" s="1">
        <v>11.06</v>
      </c>
      <c r="F1848" s="1">
        <v>1000</v>
      </c>
      <c r="G1848" s="1">
        <v>11060</v>
      </c>
      <c r="H1848" s="1">
        <v>5</v>
      </c>
      <c r="I1848" s="1">
        <v>4.02</v>
      </c>
      <c r="J1848" s="1">
        <v>0</v>
      </c>
      <c r="K1848" s="1">
        <v>0</v>
      </c>
      <c r="L1848" s="1">
        <v>0</v>
      </c>
      <c r="M1848" s="1">
        <v>0</v>
      </c>
      <c r="N1848" s="1">
        <v>-11065</v>
      </c>
      <c r="O1848" s="1">
        <v>39887.57</v>
      </c>
      <c r="P1848" s="1">
        <v>1500</v>
      </c>
    </row>
    <row r="1849" spans="1:16">
      <c r="A1849" s="1" t="str">
        <f t="shared" si="588"/>
        <v>20201116</v>
      </c>
      <c r="B1849" s="1"/>
      <c r="C1849" s="1"/>
      <c r="D1849" s="1" t="str">
        <f>"偿还融券费用"</f>
        <v>偿还融券费用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-81.31</v>
      </c>
      <c r="O1849" s="1">
        <v>39806.26</v>
      </c>
      <c r="P1849" s="1">
        <v>0</v>
      </c>
    </row>
    <row r="1850" spans="1:16">
      <c r="A1850" s="1" t="str">
        <f t="shared" si="588"/>
        <v>20201116</v>
      </c>
      <c r="B1850" s="1"/>
      <c r="C1850" s="1"/>
      <c r="D1850" s="1" t="str">
        <f>"偿还融券费用"</f>
        <v>偿还融券费用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-81.31</v>
      </c>
      <c r="O1850" s="1">
        <v>39724.95</v>
      </c>
      <c r="P1850" s="1">
        <v>0</v>
      </c>
    </row>
    <row r="1851" spans="1:16">
      <c r="A1851" s="1" t="str">
        <f t="shared" si="588"/>
        <v>20201116</v>
      </c>
      <c r="B1851" s="1"/>
      <c r="C1851" s="1"/>
      <c r="D1851" s="1" t="str">
        <f>"偿还融资利息"</f>
        <v>偿还融资利息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-12.48</v>
      </c>
      <c r="O1851" s="1">
        <v>39712.47</v>
      </c>
      <c r="P1851" s="1">
        <v>0</v>
      </c>
    </row>
    <row r="1852" spans="1:16">
      <c r="A1852" s="1" t="str">
        <f t="shared" si="588"/>
        <v>20201116</v>
      </c>
      <c r="B1852" s="1"/>
      <c r="C1852" s="1"/>
      <c r="D1852" s="1" t="str">
        <f>"偿还融资负债本金"</f>
        <v>偿还融资负债本金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-2244</v>
      </c>
      <c r="O1852" s="1">
        <v>37468.47</v>
      </c>
      <c r="P1852" s="1">
        <v>0</v>
      </c>
    </row>
    <row r="1853" spans="1:16">
      <c r="A1853" s="1" t="str">
        <f t="shared" si="588"/>
        <v>20201116</v>
      </c>
      <c r="B1853" s="1"/>
      <c r="C1853" s="1"/>
      <c r="D1853" s="1" t="str">
        <f>"偿还融资利息"</f>
        <v>偿还融资利息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-112.58</v>
      </c>
      <c r="O1853" s="1">
        <v>37355.89</v>
      </c>
      <c r="P1853" s="1">
        <v>0</v>
      </c>
    </row>
    <row r="1854" spans="1:16">
      <c r="A1854" s="1" t="str">
        <f t="shared" si="588"/>
        <v>20201116</v>
      </c>
      <c r="B1854" s="1"/>
      <c r="C1854" s="1"/>
      <c r="D1854" s="1" t="str">
        <f>"偿还融资负债本金"</f>
        <v>偿还融资负债本金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-11468.32</v>
      </c>
      <c r="O1854" s="1">
        <v>25887.57</v>
      </c>
      <c r="P1854" s="1">
        <v>0</v>
      </c>
    </row>
    <row r="1855" spans="1:16">
      <c r="A1855" s="1" t="str">
        <f>"20201117"</f>
        <v>20201117</v>
      </c>
      <c r="B1855" s="1" t="str">
        <f>"000543"</f>
        <v>000543</v>
      </c>
      <c r="C1855" s="1" t="str">
        <f>"皖能电力"</f>
        <v>皖能电力</v>
      </c>
      <c r="D1855" s="1" t="str">
        <f>"股息红利差异扣税"</f>
        <v>股息红利差异扣税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-11.9</v>
      </c>
      <c r="O1855" s="1">
        <v>25875.67</v>
      </c>
      <c r="P1855" s="1">
        <v>0</v>
      </c>
    </row>
    <row r="1856" spans="1:16">
      <c r="A1856" s="1" t="str">
        <f>"20201117"</f>
        <v>20201117</v>
      </c>
      <c r="B1856" s="1" t="str">
        <f>"003016"</f>
        <v>003016</v>
      </c>
      <c r="C1856" s="1" t="str">
        <f>"欣贺股份"</f>
        <v>欣贺股份</v>
      </c>
      <c r="D1856" s="1" t="str">
        <f>"担保品卖出"</f>
        <v>担保品卖出</v>
      </c>
      <c r="E1856" s="1">
        <v>10.9</v>
      </c>
      <c r="F1856" s="1">
        <v>1500</v>
      </c>
      <c r="G1856" s="1">
        <v>16350</v>
      </c>
      <c r="H1856" s="1">
        <v>5.07</v>
      </c>
      <c r="I1856" s="1">
        <v>3.61</v>
      </c>
      <c r="J1856" s="1">
        <v>16.35</v>
      </c>
      <c r="K1856" s="1">
        <v>0</v>
      </c>
      <c r="L1856" s="1">
        <v>0</v>
      </c>
      <c r="M1856" s="1">
        <v>0</v>
      </c>
      <c r="N1856" s="1">
        <v>16328.58</v>
      </c>
      <c r="O1856" s="1">
        <v>42204.25</v>
      </c>
      <c r="P1856" s="1">
        <v>0</v>
      </c>
    </row>
    <row r="1857" spans="1:16">
      <c r="A1857" s="1" t="str">
        <f t="shared" ref="A1857:A1868" si="589">"20201120"</f>
        <v>20201120</v>
      </c>
      <c r="B1857" s="1"/>
      <c r="C1857" s="1"/>
      <c r="D1857" s="1" t="str">
        <f>"偿还融券费用"</f>
        <v>偿还融券费用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-17.33</v>
      </c>
      <c r="O1857" s="1">
        <v>42186.92</v>
      </c>
      <c r="P1857" s="1">
        <v>0</v>
      </c>
    </row>
    <row r="1858" spans="1:16">
      <c r="A1858" s="1" t="str">
        <f t="shared" si="589"/>
        <v>20201120</v>
      </c>
      <c r="B1858" s="1"/>
      <c r="C1858" s="1"/>
      <c r="D1858" s="1" t="str">
        <f>"偿还融券费用"</f>
        <v>偿还融券费用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-17.33</v>
      </c>
      <c r="O1858" s="1">
        <v>42169.59</v>
      </c>
      <c r="P1858" s="1">
        <v>0</v>
      </c>
    </row>
    <row r="1859" spans="1:16">
      <c r="A1859" s="1" t="str">
        <f t="shared" si="589"/>
        <v>20201120</v>
      </c>
      <c r="B1859" s="1"/>
      <c r="C1859" s="1"/>
      <c r="D1859" s="1" t="str">
        <f t="shared" ref="D1859:D1868" si="590">"偿还融资利息"</f>
        <v>偿还融资利息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-8.35</v>
      </c>
      <c r="O1859" s="1">
        <v>42161.24</v>
      </c>
      <c r="P1859" s="1">
        <v>0</v>
      </c>
    </row>
    <row r="1860" spans="1:16">
      <c r="A1860" s="1" t="str">
        <f t="shared" si="589"/>
        <v>20201120</v>
      </c>
      <c r="B1860" s="1"/>
      <c r="C1860" s="1"/>
      <c r="D1860" s="1" t="str">
        <f t="shared" si="590"/>
        <v>偿还融资利息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-91.76</v>
      </c>
      <c r="O1860" s="1">
        <v>42069.48</v>
      </c>
      <c r="P1860" s="1">
        <v>0</v>
      </c>
    </row>
    <row r="1861" spans="1:16">
      <c r="A1861" s="1" t="str">
        <f t="shared" si="589"/>
        <v>20201120</v>
      </c>
      <c r="B1861" s="1"/>
      <c r="C1861" s="1"/>
      <c r="D1861" s="1" t="str">
        <f t="shared" si="590"/>
        <v>偿还融资利息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-91.45</v>
      </c>
      <c r="O1861" s="1">
        <v>41978.03</v>
      </c>
      <c r="P1861" s="1">
        <v>0</v>
      </c>
    </row>
    <row r="1862" spans="1:16">
      <c r="A1862" s="1" t="str">
        <f t="shared" si="589"/>
        <v>20201120</v>
      </c>
      <c r="B1862" s="1"/>
      <c r="C1862" s="1"/>
      <c r="D1862" s="1" t="str">
        <f t="shared" si="590"/>
        <v>偿还融资利息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-112.57</v>
      </c>
      <c r="O1862" s="1">
        <v>41865.46</v>
      </c>
      <c r="P1862" s="1">
        <v>0</v>
      </c>
    </row>
    <row r="1863" spans="1:16">
      <c r="A1863" s="1" t="str">
        <f t="shared" si="589"/>
        <v>20201120</v>
      </c>
      <c r="B1863" s="1"/>
      <c r="C1863" s="1"/>
      <c r="D1863" s="1" t="str">
        <f t="shared" si="590"/>
        <v>偿还融资利息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-91.45</v>
      </c>
      <c r="O1863" s="1">
        <v>41774.01</v>
      </c>
      <c r="P1863" s="1">
        <v>0</v>
      </c>
    </row>
    <row r="1864" spans="1:16">
      <c r="A1864" s="1" t="str">
        <f t="shared" si="589"/>
        <v>20201120</v>
      </c>
      <c r="B1864" s="1"/>
      <c r="C1864" s="1"/>
      <c r="D1864" s="1" t="str">
        <f t="shared" si="590"/>
        <v>偿还融资利息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-91.45</v>
      </c>
      <c r="O1864" s="1">
        <v>41682.56</v>
      </c>
      <c r="P1864" s="1">
        <v>0</v>
      </c>
    </row>
    <row r="1865" spans="1:16">
      <c r="A1865" s="1" t="str">
        <f t="shared" si="589"/>
        <v>20201120</v>
      </c>
      <c r="B1865" s="1"/>
      <c r="C1865" s="1"/>
      <c r="D1865" s="1" t="str">
        <f t="shared" si="590"/>
        <v>偿还融资利息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-91.45</v>
      </c>
      <c r="O1865" s="1">
        <v>41591.11</v>
      </c>
      <c r="P1865" s="1">
        <v>0</v>
      </c>
    </row>
    <row r="1866" spans="1:16">
      <c r="A1866" s="1" t="str">
        <f t="shared" si="589"/>
        <v>20201120</v>
      </c>
      <c r="B1866" s="1"/>
      <c r="C1866" s="1"/>
      <c r="D1866" s="1" t="str">
        <f t="shared" si="590"/>
        <v>偿还融资利息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-89.25</v>
      </c>
      <c r="O1866" s="1">
        <v>41501.86</v>
      </c>
      <c r="P1866" s="1">
        <v>0</v>
      </c>
    </row>
    <row r="1867" spans="1:16">
      <c r="A1867" s="1" t="str">
        <f t="shared" si="589"/>
        <v>20201120</v>
      </c>
      <c r="B1867" s="1"/>
      <c r="C1867" s="1"/>
      <c r="D1867" s="1" t="str">
        <f t="shared" si="590"/>
        <v>偿还融资利息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-66.01</v>
      </c>
      <c r="O1867" s="1">
        <v>41435.85</v>
      </c>
      <c r="P1867" s="1">
        <v>0</v>
      </c>
    </row>
    <row r="1868" spans="1:16">
      <c r="A1868" s="1" t="str">
        <f t="shared" si="589"/>
        <v>20201120</v>
      </c>
      <c r="B1868" s="1"/>
      <c r="C1868" s="1"/>
      <c r="D1868" s="1" t="str">
        <f t="shared" si="590"/>
        <v>偿还融资利息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-62.71</v>
      </c>
      <c r="O1868" s="1">
        <v>41373.14</v>
      </c>
      <c r="P1868" s="1">
        <v>0</v>
      </c>
    </row>
    <row r="1869" spans="1:16">
      <c r="A1869" s="1" t="str">
        <f t="shared" ref="A1869:A1877" si="591">"20201123"</f>
        <v>20201123</v>
      </c>
      <c r="B1869" s="1" t="str">
        <f>"600028"</f>
        <v>600028</v>
      </c>
      <c r="C1869" s="1" t="str">
        <f>"中国石化"</f>
        <v>中国石化</v>
      </c>
      <c r="D1869" s="1" t="str">
        <f>"卖券还款"</f>
        <v>卖券还款</v>
      </c>
      <c r="E1869" s="1">
        <v>4.14</v>
      </c>
      <c r="F1869" s="1">
        <v>5000</v>
      </c>
      <c r="G1869" s="1">
        <v>20700</v>
      </c>
      <c r="H1869" s="1">
        <v>10.35</v>
      </c>
      <c r="I1869" s="1">
        <v>8.93</v>
      </c>
      <c r="J1869" s="1">
        <v>20.7</v>
      </c>
      <c r="K1869" s="1">
        <v>0.41</v>
      </c>
      <c r="L1869" s="1">
        <v>0</v>
      </c>
      <c r="M1869" s="1">
        <v>0</v>
      </c>
      <c r="N1869" s="1">
        <v>20668.54</v>
      </c>
      <c r="O1869" s="1">
        <v>62041.68</v>
      </c>
      <c r="P1869" s="1">
        <v>10700</v>
      </c>
    </row>
    <row r="1870" spans="1:16">
      <c r="A1870" s="1" t="str">
        <f t="shared" si="591"/>
        <v>20201123</v>
      </c>
      <c r="B1870" s="1"/>
      <c r="C1870" s="1"/>
      <c r="D1870" s="1" t="str">
        <f>"偿还融券费用"</f>
        <v>偿还融券费用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-6.98</v>
      </c>
      <c r="O1870" s="1">
        <v>62034.7</v>
      </c>
      <c r="P1870" s="1">
        <v>0</v>
      </c>
    </row>
    <row r="1871" spans="1:16">
      <c r="A1871" s="1" t="str">
        <f t="shared" si="591"/>
        <v>20201123</v>
      </c>
      <c r="B1871" s="1"/>
      <c r="C1871" s="1"/>
      <c r="D1871" s="1" t="str">
        <f>"偿还融券费用"</f>
        <v>偿还融券费用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-6.98</v>
      </c>
      <c r="O1871" s="1">
        <v>62027.72</v>
      </c>
      <c r="P1871" s="1">
        <v>0</v>
      </c>
    </row>
    <row r="1872" spans="1:16">
      <c r="A1872" s="1" t="str">
        <f t="shared" si="591"/>
        <v>20201123</v>
      </c>
      <c r="B1872" s="1"/>
      <c r="C1872" s="1"/>
      <c r="D1872" s="1" t="str">
        <f t="shared" ref="D1872:D1876" si="592">"偿还融资利息"</f>
        <v>偿还融资利息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-3.34</v>
      </c>
      <c r="O1872" s="1">
        <v>62024.38</v>
      </c>
      <c r="P1872" s="1">
        <v>0</v>
      </c>
    </row>
    <row r="1873" spans="1:16">
      <c r="A1873" s="1" t="str">
        <f t="shared" si="591"/>
        <v>20201123</v>
      </c>
      <c r="B1873" s="1"/>
      <c r="C1873" s="1"/>
      <c r="D1873" s="1" t="str">
        <f t="shared" ref="D1873:D1877" si="593">"偿还融资负债本金"</f>
        <v>偿还融资负债本金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-7201.01</v>
      </c>
      <c r="O1873" s="1">
        <v>54823.37</v>
      </c>
      <c r="P1873" s="1">
        <v>0</v>
      </c>
    </row>
    <row r="1874" spans="1:16">
      <c r="A1874" s="1" t="str">
        <f t="shared" si="591"/>
        <v>20201123</v>
      </c>
      <c r="B1874" s="1"/>
      <c r="C1874" s="1"/>
      <c r="D1874" s="1" t="str">
        <f t="shared" si="592"/>
        <v>偿还融资利息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-5.92</v>
      </c>
      <c r="O1874" s="1">
        <v>54817.45</v>
      </c>
      <c r="P1874" s="1">
        <v>0</v>
      </c>
    </row>
    <row r="1875" spans="1:16">
      <c r="A1875" s="1" t="str">
        <f t="shared" si="591"/>
        <v>20201123</v>
      </c>
      <c r="B1875" s="1"/>
      <c r="C1875" s="1"/>
      <c r="D1875" s="1" t="str">
        <f t="shared" si="593"/>
        <v>偿还融资负债本金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-12756.38</v>
      </c>
      <c r="O1875" s="1">
        <v>42061.07</v>
      </c>
      <c r="P1875" s="1">
        <v>0</v>
      </c>
    </row>
    <row r="1876" spans="1:16">
      <c r="A1876" s="1" t="str">
        <f t="shared" si="591"/>
        <v>20201123</v>
      </c>
      <c r="B1876" s="1"/>
      <c r="C1876" s="1"/>
      <c r="D1876" s="1" t="str">
        <f t="shared" si="592"/>
        <v>偿还融资利息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-5.9</v>
      </c>
      <c r="O1876" s="1">
        <v>42055.17</v>
      </c>
      <c r="P1876" s="1">
        <v>0</v>
      </c>
    </row>
    <row r="1877" spans="1:16">
      <c r="A1877" s="1" t="str">
        <f t="shared" si="591"/>
        <v>20201123</v>
      </c>
      <c r="B1877" s="1"/>
      <c r="C1877" s="1"/>
      <c r="D1877" s="1" t="str">
        <f t="shared" si="593"/>
        <v>偿还融资负债本金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-630.28</v>
      </c>
      <c r="O1877" s="1">
        <v>41424.89</v>
      </c>
      <c r="P1877" s="1">
        <v>0</v>
      </c>
    </row>
    <row r="1878" spans="1:16">
      <c r="A1878" s="1" t="str">
        <f t="shared" ref="A1878:A1882" si="594">"20201124"</f>
        <v>20201124</v>
      </c>
      <c r="B1878" s="1" t="str">
        <f t="shared" ref="B1878:B1881" si="595">"600028"</f>
        <v>600028</v>
      </c>
      <c r="C1878" s="1" t="str">
        <f t="shared" ref="C1878:C1881" si="596">"中国石化"</f>
        <v>中国石化</v>
      </c>
      <c r="D1878" s="1" t="str">
        <f t="shared" ref="D1878:D1881" si="597">"股息红利差异扣税"</f>
        <v>股息红利差异扣税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-28.5</v>
      </c>
      <c r="O1878" s="1">
        <v>41396.39</v>
      </c>
      <c r="P1878" s="1">
        <v>0</v>
      </c>
    </row>
    <row r="1879" spans="1:16">
      <c r="A1879" s="1" t="str">
        <f t="shared" si="594"/>
        <v>20201124</v>
      </c>
      <c r="B1879" s="1" t="str">
        <f t="shared" si="595"/>
        <v>600028</v>
      </c>
      <c r="C1879" s="1" t="str">
        <f t="shared" si="596"/>
        <v>中国石化</v>
      </c>
      <c r="D1879" s="1" t="str">
        <f t="shared" si="597"/>
        <v>股息红利差异扣税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-10.5</v>
      </c>
      <c r="O1879" s="1">
        <v>41385.89</v>
      </c>
      <c r="P1879" s="1">
        <v>0</v>
      </c>
    </row>
    <row r="1880" spans="1:16">
      <c r="A1880" s="1" t="str">
        <f t="shared" si="594"/>
        <v>20201124</v>
      </c>
      <c r="B1880" s="1" t="str">
        <f t="shared" si="595"/>
        <v>600028</v>
      </c>
      <c r="C1880" s="1" t="str">
        <f t="shared" si="596"/>
        <v>中国石化</v>
      </c>
      <c r="D1880" s="1" t="str">
        <f t="shared" si="597"/>
        <v>股息红利差异扣税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-66.5</v>
      </c>
      <c r="O1880" s="1">
        <v>41319.39</v>
      </c>
      <c r="P1880" s="1">
        <v>0</v>
      </c>
    </row>
    <row r="1881" spans="1:16">
      <c r="A1881" s="1" t="str">
        <f t="shared" si="594"/>
        <v>20201124</v>
      </c>
      <c r="B1881" s="1" t="str">
        <f t="shared" si="595"/>
        <v>600028</v>
      </c>
      <c r="C1881" s="1" t="str">
        <f t="shared" si="596"/>
        <v>中国石化</v>
      </c>
      <c r="D1881" s="1" t="str">
        <f t="shared" si="597"/>
        <v>股息红利差异扣税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-24.5</v>
      </c>
      <c r="O1881" s="1">
        <v>41294.89</v>
      </c>
      <c r="P1881" s="1">
        <v>0</v>
      </c>
    </row>
    <row r="1882" spans="1:16">
      <c r="A1882" s="1" t="str">
        <f t="shared" si="594"/>
        <v>20201124</v>
      </c>
      <c r="B1882" s="1" t="str">
        <f>"000543"</f>
        <v>000543</v>
      </c>
      <c r="C1882" s="1" t="str">
        <f>"皖能电力"</f>
        <v>皖能电力</v>
      </c>
      <c r="D1882" s="1" t="str">
        <f>"担保品卖出"</f>
        <v>担保品卖出</v>
      </c>
      <c r="E1882" s="1">
        <v>4.17</v>
      </c>
      <c r="F1882" s="1">
        <v>3000</v>
      </c>
      <c r="G1882" s="1">
        <v>12510</v>
      </c>
      <c r="H1882" s="1">
        <v>5</v>
      </c>
      <c r="I1882" s="1">
        <v>3.89</v>
      </c>
      <c r="J1882" s="1">
        <v>12.51</v>
      </c>
      <c r="K1882" s="1">
        <v>0</v>
      </c>
      <c r="L1882" s="1">
        <v>0</v>
      </c>
      <c r="M1882" s="1">
        <v>0</v>
      </c>
      <c r="N1882" s="1">
        <v>12492.49</v>
      </c>
      <c r="O1882" s="1">
        <v>53787.38</v>
      </c>
      <c r="P1882" s="1">
        <v>22000</v>
      </c>
    </row>
    <row r="1883" spans="1:16">
      <c r="A1883" s="1" t="str">
        <f t="shared" ref="A1883:A1890" si="598">"20201127"</f>
        <v>20201127</v>
      </c>
      <c r="B1883" s="1"/>
      <c r="C1883" s="1"/>
      <c r="D1883" s="1" t="str">
        <f>"偿还融券费用"</f>
        <v>偿还融券费用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-13.97</v>
      </c>
      <c r="O1883" s="1">
        <v>53773.41</v>
      </c>
      <c r="P1883" s="1">
        <v>0</v>
      </c>
    </row>
    <row r="1884" spans="1:16">
      <c r="A1884" s="1" t="str">
        <f t="shared" si="598"/>
        <v>20201127</v>
      </c>
      <c r="B1884" s="1"/>
      <c r="C1884" s="1"/>
      <c r="D1884" s="1" t="str">
        <f>"偿还融券费用"</f>
        <v>偿还融券费用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-13.97</v>
      </c>
      <c r="O1884" s="1">
        <v>53759.44</v>
      </c>
      <c r="P1884" s="1">
        <v>0</v>
      </c>
    </row>
    <row r="1885" spans="1:16">
      <c r="A1885" s="1" t="str">
        <f t="shared" si="598"/>
        <v>20201127</v>
      </c>
      <c r="B1885" s="1"/>
      <c r="C1885" s="1"/>
      <c r="D1885" s="1" t="str">
        <f t="shared" ref="D1885:D1889" si="599">"偿还融资利息"</f>
        <v>偿还融资利息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-11.24</v>
      </c>
      <c r="O1885" s="1">
        <v>53748.2</v>
      </c>
      <c r="P1885" s="1">
        <v>0</v>
      </c>
    </row>
    <row r="1886" spans="1:16">
      <c r="A1886" s="1" t="str">
        <f t="shared" si="598"/>
        <v>20201127</v>
      </c>
      <c r="B1886" s="1"/>
      <c r="C1886" s="1"/>
      <c r="D1886" s="1" t="str">
        <f t="shared" ref="D1886:D1890" si="600">"偿还融资负债本金"</f>
        <v>偿还融资负债本金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-12096.08</v>
      </c>
      <c r="O1886" s="1">
        <v>41652.12</v>
      </c>
      <c r="P1886" s="1">
        <v>0</v>
      </c>
    </row>
    <row r="1887" spans="1:16">
      <c r="A1887" s="1" t="str">
        <f t="shared" si="598"/>
        <v>20201127</v>
      </c>
      <c r="B1887" s="1"/>
      <c r="C1887" s="1"/>
      <c r="D1887" s="1" t="str">
        <f t="shared" si="599"/>
        <v>偿还融资利息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-21.79</v>
      </c>
      <c r="O1887" s="1">
        <v>41630.33</v>
      </c>
      <c r="P1887" s="1">
        <v>0</v>
      </c>
    </row>
    <row r="1888" spans="1:16">
      <c r="A1888" s="1" t="str">
        <f t="shared" si="598"/>
        <v>20201127</v>
      </c>
      <c r="B1888" s="1"/>
      <c r="C1888" s="1"/>
      <c r="D1888" s="1" t="str">
        <f t="shared" si="600"/>
        <v>偿还融资负债本金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-15667.83</v>
      </c>
      <c r="O1888" s="1">
        <v>25962.5</v>
      </c>
      <c r="P1888" s="1">
        <v>0</v>
      </c>
    </row>
    <row r="1889" spans="1:16">
      <c r="A1889" s="1" t="str">
        <f t="shared" si="598"/>
        <v>20201127</v>
      </c>
      <c r="B1889" s="1"/>
      <c r="C1889" s="1"/>
      <c r="D1889" s="1" t="str">
        <f t="shared" si="599"/>
        <v>偿还融资利息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-17.7</v>
      </c>
      <c r="O1889" s="1">
        <v>25944.8</v>
      </c>
      <c r="P1889" s="1">
        <v>0</v>
      </c>
    </row>
    <row r="1890" spans="1:16">
      <c r="A1890" s="1" t="str">
        <f t="shared" si="598"/>
        <v>20201127</v>
      </c>
      <c r="B1890" s="1"/>
      <c r="C1890" s="1"/>
      <c r="D1890" s="1" t="str">
        <f t="shared" si="600"/>
        <v>偿还融资负债本金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-157.42</v>
      </c>
      <c r="O1890" s="1">
        <v>25787.38</v>
      </c>
      <c r="P1890" s="1">
        <v>0</v>
      </c>
    </row>
    <row r="1891" spans="1:16">
      <c r="A1891" s="1" t="str">
        <f>"20201204"</f>
        <v>20201204</v>
      </c>
      <c r="B1891" s="1" t="str">
        <f>"000543"</f>
        <v>000543</v>
      </c>
      <c r="C1891" s="1" t="str">
        <f>"皖能电力"</f>
        <v>皖能电力</v>
      </c>
      <c r="D1891" s="1" t="str">
        <f>"融资买入"</f>
        <v>融资买入</v>
      </c>
      <c r="E1891" s="1">
        <v>4.1</v>
      </c>
      <c r="F1891" s="1">
        <v>4000</v>
      </c>
      <c r="G1891" s="1">
        <v>16400</v>
      </c>
      <c r="H1891" s="1">
        <v>8.2</v>
      </c>
      <c r="I1891" s="1">
        <v>6.74</v>
      </c>
      <c r="J1891" s="1">
        <v>0</v>
      </c>
      <c r="K1891" s="1">
        <v>0</v>
      </c>
      <c r="L1891" s="1">
        <v>0</v>
      </c>
      <c r="M1891" s="1">
        <v>0</v>
      </c>
      <c r="N1891" s="1">
        <v>-16408.2</v>
      </c>
      <c r="O1891" s="1">
        <v>9379.18</v>
      </c>
      <c r="P1891" s="1">
        <v>26000</v>
      </c>
    </row>
    <row r="1892" spans="1:16">
      <c r="A1892" s="1" t="str">
        <f>"20201204"</f>
        <v>20201204</v>
      </c>
      <c r="B1892" s="1"/>
      <c r="C1892" s="1"/>
      <c r="D1892" s="1" t="str">
        <f>"融资借入"</f>
        <v>融资借入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16408.2</v>
      </c>
      <c r="O1892" s="1">
        <v>25787.38</v>
      </c>
      <c r="P1892" s="1">
        <v>0</v>
      </c>
    </row>
    <row r="1893" spans="1:16">
      <c r="A1893" s="1" t="str">
        <f>"20201214"</f>
        <v>20201214</v>
      </c>
      <c r="B1893" s="1" t="str">
        <f>"000543"</f>
        <v>000543</v>
      </c>
      <c r="C1893" s="1" t="str">
        <f>"皖能电力"</f>
        <v>皖能电力</v>
      </c>
      <c r="D1893" s="1" t="str">
        <f>"融资买入"</f>
        <v>融资买入</v>
      </c>
      <c r="E1893" s="1">
        <v>3.97</v>
      </c>
      <c r="F1893" s="1">
        <v>4000</v>
      </c>
      <c r="G1893" s="1">
        <v>15880</v>
      </c>
      <c r="H1893" s="1">
        <v>7.94</v>
      </c>
      <c r="I1893" s="1">
        <v>6.5</v>
      </c>
      <c r="J1893" s="1">
        <v>0</v>
      </c>
      <c r="K1893" s="1">
        <v>0</v>
      </c>
      <c r="L1893" s="1">
        <v>0</v>
      </c>
      <c r="M1893" s="1">
        <v>0</v>
      </c>
      <c r="N1893" s="1">
        <v>-15887.94</v>
      </c>
      <c r="O1893" s="1">
        <v>9899.44</v>
      </c>
      <c r="P1893" s="1">
        <v>30000</v>
      </c>
    </row>
    <row r="1894" spans="1:16">
      <c r="A1894" s="1" t="str">
        <f>"20201214"</f>
        <v>20201214</v>
      </c>
      <c r="B1894" s="1"/>
      <c r="C1894" s="1"/>
      <c r="D1894" s="1" t="str">
        <f>"融资借入"</f>
        <v>融资借入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15887.94</v>
      </c>
      <c r="O1894" s="1">
        <v>25787.38</v>
      </c>
      <c r="P1894" s="1">
        <v>0</v>
      </c>
    </row>
    <row r="1895" spans="1:16">
      <c r="A1895" s="1" t="str">
        <f>"20201217"</f>
        <v>20201217</v>
      </c>
      <c r="B1895" s="1" t="str">
        <f>"002183"</f>
        <v>002183</v>
      </c>
      <c r="C1895" s="1" t="str">
        <f>"怡 亚 通"</f>
        <v>怡 亚 通</v>
      </c>
      <c r="D1895" s="1" t="str">
        <f>"担保品卖出"</f>
        <v>担保品卖出</v>
      </c>
      <c r="E1895" s="1">
        <v>4.51</v>
      </c>
      <c r="F1895" s="1">
        <v>3000</v>
      </c>
      <c r="G1895" s="1">
        <v>13530</v>
      </c>
      <c r="H1895" s="1">
        <v>5</v>
      </c>
      <c r="I1895" s="1">
        <v>3.8</v>
      </c>
      <c r="J1895" s="1">
        <v>13.53</v>
      </c>
      <c r="K1895" s="1">
        <v>0</v>
      </c>
      <c r="L1895" s="1">
        <v>0</v>
      </c>
      <c r="M1895" s="1">
        <v>0</v>
      </c>
      <c r="N1895" s="1">
        <v>13511.47</v>
      </c>
      <c r="O1895" s="1">
        <v>39298.85</v>
      </c>
      <c r="P1895" s="1">
        <v>12500</v>
      </c>
    </row>
    <row r="1896" spans="1:16">
      <c r="A1896" s="1" t="str">
        <f t="shared" ref="A1896:A1911" si="601">"20201218"</f>
        <v>20201218</v>
      </c>
      <c r="B1896" s="1" t="str">
        <f>"002183"</f>
        <v>002183</v>
      </c>
      <c r="C1896" s="1" t="str">
        <f>"怡 亚 通"</f>
        <v>怡 亚 通</v>
      </c>
      <c r="D1896" s="1" t="str">
        <f>"股息红利差异扣税"</f>
        <v>股息红利差异扣税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-0.5</v>
      </c>
      <c r="O1896" s="1">
        <v>39298.35</v>
      </c>
      <c r="P1896" s="1">
        <v>0</v>
      </c>
    </row>
    <row r="1897" spans="1:16">
      <c r="A1897" s="1" t="str">
        <f t="shared" si="601"/>
        <v>20201218</v>
      </c>
      <c r="B1897" s="1"/>
      <c r="C1897" s="1"/>
      <c r="D1897" s="1" t="str">
        <f>"利息归本"</f>
        <v>利息归本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26.56</v>
      </c>
      <c r="O1897" s="1">
        <v>39324.91</v>
      </c>
      <c r="P1897" s="1">
        <v>0</v>
      </c>
    </row>
    <row r="1898" spans="1:16">
      <c r="A1898" s="1" t="str">
        <f t="shared" si="601"/>
        <v>20201218</v>
      </c>
      <c r="B1898" s="1" t="str">
        <f>"000543"</f>
        <v>000543</v>
      </c>
      <c r="C1898" s="1" t="str">
        <f>"皖能电力"</f>
        <v>皖能电力</v>
      </c>
      <c r="D1898" s="1" t="str">
        <f>"卖券还款"</f>
        <v>卖券还款</v>
      </c>
      <c r="E1898" s="1">
        <v>4.1</v>
      </c>
      <c r="F1898" s="1">
        <v>4000</v>
      </c>
      <c r="G1898" s="1">
        <v>16400</v>
      </c>
      <c r="H1898" s="1">
        <v>8.2</v>
      </c>
      <c r="I1898" s="1">
        <v>6.74</v>
      </c>
      <c r="J1898" s="1">
        <v>16.4</v>
      </c>
      <c r="K1898" s="1">
        <v>0</v>
      </c>
      <c r="L1898" s="1">
        <v>0</v>
      </c>
      <c r="M1898" s="1">
        <v>0</v>
      </c>
      <c r="N1898" s="1">
        <v>16375.4</v>
      </c>
      <c r="O1898" s="1">
        <v>55700.31</v>
      </c>
      <c r="P1898" s="1">
        <v>26000</v>
      </c>
    </row>
    <row r="1899" spans="1:16">
      <c r="A1899" s="1" t="str">
        <f t="shared" si="601"/>
        <v>20201218</v>
      </c>
      <c r="B1899" s="1"/>
      <c r="C1899" s="1"/>
      <c r="D1899" s="1" t="str">
        <f t="shared" ref="D1899:D1909" si="602">"偿还融资利息"</f>
        <v>偿还融资利息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-61.29</v>
      </c>
      <c r="O1899" s="1">
        <v>55639.02</v>
      </c>
      <c r="P1899" s="1">
        <v>0</v>
      </c>
    </row>
    <row r="1900" spans="1:16">
      <c r="A1900" s="1" t="str">
        <f t="shared" si="601"/>
        <v>20201218</v>
      </c>
      <c r="B1900" s="1"/>
      <c r="C1900" s="1"/>
      <c r="D1900" s="1" t="str">
        <f>"偿还融资负债本金"</f>
        <v>偿还融资负债本金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-12568.94</v>
      </c>
      <c r="O1900" s="1">
        <v>43070.08</v>
      </c>
      <c r="P1900" s="1">
        <v>0</v>
      </c>
    </row>
    <row r="1901" spans="1:16">
      <c r="A1901" s="1" t="str">
        <f t="shared" si="601"/>
        <v>20201218</v>
      </c>
      <c r="B1901" s="1"/>
      <c r="C1901" s="1"/>
      <c r="D1901" s="1" t="str">
        <f t="shared" si="602"/>
        <v>偿还融资利息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-79.65</v>
      </c>
      <c r="O1901" s="1">
        <v>42990.43</v>
      </c>
      <c r="P1901" s="1">
        <v>0</v>
      </c>
    </row>
    <row r="1902" spans="1:16">
      <c r="A1902" s="1" t="str">
        <f t="shared" si="601"/>
        <v>20201218</v>
      </c>
      <c r="B1902" s="1"/>
      <c r="C1902" s="1"/>
      <c r="D1902" s="1" t="str">
        <f>"偿还融资负债本金"</f>
        <v>偿还融资负债本金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-3624.52</v>
      </c>
      <c r="O1902" s="1">
        <v>39365.91</v>
      </c>
      <c r="P1902" s="1">
        <v>0</v>
      </c>
    </row>
    <row r="1903" spans="1:16">
      <c r="A1903" s="1" t="str">
        <f t="shared" si="601"/>
        <v>20201218</v>
      </c>
      <c r="B1903" s="1"/>
      <c r="C1903" s="1"/>
      <c r="D1903" s="1" t="str">
        <f t="shared" si="602"/>
        <v>偿还融资利息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-2.11</v>
      </c>
      <c r="O1903" s="1">
        <v>39363.8</v>
      </c>
      <c r="P1903" s="1">
        <v>0</v>
      </c>
    </row>
    <row r="1904" spans="1:16">
      <c r="A1904" s="1" t="str">
        <f t="shared" si="601"/>
        <v>20201218</v>
      </c>
      <c r="B1904" s="1"/>
      <c r="C1904" s="1"/>
      <c r="D1904" s="1" t="str">
        <f t="shared" si="602"/>
        <v>偿还融资利息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-82.6</v>
      </c>
      <c r="O1904" s="1">
        <v>39281.2</v>
      </c>
      <c r="P1904" s="1">
        <v>0</v>
      </c>
    </row>
    <row r="1905" spans="1:16">
      <c r="A1905" s="1" t="str">
        <f t="shared" si="601"/>
        <v>20201218</v>
      </c>
      <c r="B1905" s="1"/>
      <c r="C1905" s="1"/>
      <c r="D1905" s="1" t="str">
        <f t="shared" si="602"/>
        <v>偿还融资利息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-99.96</v>
      </c>
      <c r="O1905" s="1">
        <v>39181.24</v>
      </c>
      <c r="P1905" s="1">
        <v>0</v>
      </c>
    </row>
    <row r="1906" spans="1:16">
      <c r="A1906" s="1" t="str">
        <f t="shared" si="601"/>
        <v>20201218</v>
      </c>
      <c r="B1906" s="1"/>
      <c r="C1906" s="1"/>
      <c r="D1906" s="1" t="str">
        <f t="shared" si="602"/>
        <v>偿还融资利息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-80.36</v>
      </c>
      <c r="O1906" s="1">
        <v>39100.88</v>
      </c>
      <c r="P1906" s="1">
        <v>0</v>
      </c>
    </row>
    <row r="1907" spans="1:16">
      <c r="A1907" s="1" t="str">
        <f t="shared" si="601"/>
        <v>20201218</v>
      </c>
      <c r="B1907" s="1"/>
      <c r="C1907" s="1"/>
      <c r="D1907" s="1" t="str">
        <f t="shared" si="602"/>
        <v>偿还融资利息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-103.28</v>
      </c>
      <c r="O1907" s="1">
        <v>38997.6</v>
      </c>
      <c r="P1907" s="1">
        <v>0</v>
      </c>
    </row>
    <row r="1908" spans="1:16">
      <c r="A1908" s="1" t="str">
        <f t="shared" si="601"/>
        <v>20201218</v>
      </c>
      <c r="B1908" s="1"/>
      <c r="C1908" s="1"/>
      <c r="D1908" s="1" t="str">
        <f t="shared" si="602"/>
        <v>偿还融资利息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-57.13</v>
      </c>
      <c r="O1908" s="1">
        <v>38940.47</v>
      </c>
      <c r="P1908" s="1">
        <v>0</v>
      </c>
    </row>
    <row r="1909" spans="1:16">
      <c r="A1909" s="1" t="str">
        <f t="shared" si="601"/>
        <v>20201218</v>
      </c>
      <c r="B1909" s="1"/>
      <c r="C1909" s="1"/>
      <c r="D1909" s="1" t="str">
        <f t="shared" si="602"/>
        <v>偿还融资利息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-18.45</v>
      </c>
      <c r="O1909" s="1">
        <v>38922.02</v>
      </c>
      <c r="P1909" s="1">
        <v>0</v>
      </c>
    </row>
    <row r="1910" spans="1:16">
      <c r="A1910" s="1" t="str">
        <f t="shared" si="601"/>
        <v>20201218</v>
      </c>
      <c r="B1910" s="1"/>
      <c r="C1910" s="1"/>
      <c r="D1910" s="1" t="str">
        <f>"偿还融券费用"</f>
        <v>偿还融券费用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-77.49</v>
      </c>
      <c r="O1910" s="1">
        <v>38844.53</v>
      </c>
      <c r="P1910" s="1">
        <v>0</v>
      </c>
    </row>
    <row r="1911" spans="1:16">
      <c r="A1911" s="1" t="str">
        <f t="shared" si="601"/>
        <v>20201218</v>
      </c>
      <c r="B1911" s="1"/>
      <c r="C1911" s="1"/>
      <c r="D1911" s="1" t="str">
        <f>"偿还融券费用"</f>
        <v>偿还融券费用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-77.49</v>
      </c>
      <c r="O1911" s="1">
        <v>38767.04</v>
      </c>
      <c r="P1911" s="1">
        <v>0</v>
      </c>
    </row>
    <row r="1912" spans="1:16">
      <c r="A1912" s="1" t="str">
        <f t="shared" ref="A1912:A1918" si="603">"20201222"</f>
        <v>20201222</v>
      </c>
      <c r="B1912" s="1" t="str">
        <f>"000543"</f>
        <v>000543</v>
      </c>
      <c r="C1912" s="1" t="str">
        <f>"皖能电力"</f>
        <v>皖能电力</v>
      </c>
      <c r="D1912" s="1" t="str">
        <f>"担保品卖出"</f>
        <v>担保品卖出</v>
      </c>
      <c r="E1912" s="1">
        <v>4.2</v>
      </c>
      <c r="F1912" s="1">
        <v>4000</v>
      </c>
      <c r="G1912" s="1">
        <v>16800</v>
      </c>
      <c r="H1912" s="1">
        <v>5.21</v>
      </c>
      <c r="I1912" s="1">
        <v>3.71</v>
      </c>
      <c r="J1912" s="1">
        <v>16.8</v>
      </c>
      <c r="K1912" s="1">
        <v>0</v>
      </c>
      <c r="L1912" s="1">
        <v>0</v>
      </c>
      <c r="M1912" s="1">
        <v>0</v>
      </c>
      <c r="N1912" s="1">
        <v>16777.99</v>
      </c>
      <c r="O1912" s="1">
        <v>55545.03</v>
      </c>
      <c r="P1912" s="1">
        <v>22000</v>
      </c>
    </row>
    <row r="1913" spans="1:16">
      <c r="A1913" s="1" t="str">
        <f t="shared" si="603"/>
        <v>20201222</v>
      </c>
      <c r="B1913" s="1"/>
      <c r="C1913" s="1"/>
      <c r="D1913" s="1" t="str">
        <f t="shared" ref="D1913:D1917" si="604">"偿还融资利息"</f>
        <v>偿还融资利息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-6.33</v>
      </c>
      <c r="O1913" s="1">
        <v>55538.7</v>
      </c>
      <c r="P1913" s="1">
        <v>0</v>
      </c>
    </row>
    <row r="1914" spans="1:16">
      <c r="A1914" s="1" t="str">
        <f t="shared" si="603"/>
        <v>20201222</v>
      </c>
      <c r="B1914" s="1"/>
      <c r="C1914" s="1"/>
      <c r="D1914" s="1" t="str">
        <f t="shared" ref="D1914:D1918" si="605">"偿还融资负债本金"</f>
        <v>偿还融资负债本金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-9101.84</v>
      </c>
      <c r="O1914" s="1">
        <v>46436.86</v>
      </c>
      <c r="P1914" s="1">
        <v>0</v>
      </c>
    </row>
    <row r="1915" spans="1:16">
      <c r="A1915" s="1" t="str">
        <f t="shared" si="603"/>
        <v>20201222</v>
      </c>
      <c r="B1915" s="1"/>
      <c r="C1915" s="1"/>
      <c r="D1915" s="1" t="str">
        <f t="shared" si="604"/>
        <v>偿还融资利息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-8.85</v>
      </c>
      <c r="O1915" s="1">
        <v>46428.01</v>
      </c>
      <c r="P1915" s="1">
        <v>0</v>
      </c>
    </row>
    <row r="1916" spans="1:16">
      <c r="A1916" s="1" t="str">
        <f t="shared" si="603"/>
        <v>20201222</v>
      </c>
      <c r="B1916" s="1"/>
      <c r="C1916" s="1"/>
      <c r="D1916" s="1" t="str">
        <f t="shared" si="605"/>
        <v>偿还融资负债本金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-12726.36</v>
      </c>
      <c r="O1916" s="1">
        <v>33701.65</v>
      </c>
      <c r="P1916" s="1">
        <v>0</v>
      </c>
    </row>
    <row r="1917" spans="1:16">
      <c r="A1917" s="1" t="str">
        <f t="shared" si="603"/>
        <v>20201222</v>
      </c>
      <c r="B1917" s="1"/>
      <c r="C1917" s="1"/>
      <c r="D1917" s="1" t="str">
        <f t="shared" si="604"/>
        <v>偿还融资利息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-10.71</v>
      </c>
      <c r="O1917" s="1">
        <v>33690.94</v>
      </c>
      <c r="P1917" s="1">
        <v>0</v>
      </c>
    </row>
    <row r="1918" spans="1:16">
      <c r="A1918" s="1" t="str">
        <f t="shared" si="603"/>
        <v>20201222</v>
      </c>
      <c r="B1918" s="1"/>
      <c r="C1918" s="1"/>
      <c r="D1918" s="1" t="str">
        <f t="shared" si="605"/>
        <v>偿还融资负债本金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-8145.91</v>
      </c>
      <c r="O1918" s="1">
        <v>25545.03</v>
      </c>
      <c r="P1918" s="1">
        <v>0</v>
      </c>
    </row>
    <row r="1919" spans="1:16">
      <c r="A1919" s="1" t="str">
        <f>"20210105"</f>
        <v>20210105</v>
      </c>
      <c r="B1919" s="1" t="str">
        <f>"000543"</f>
        <v>000543</v>
      </c>
      <c r="C1919" s="1" t="str">
        <f>"皖能电力"</f>
        <v>皖能电力</v>
      </c>
      <c r="D1919" s="1" t="str">
        <f>"融资买入"</f>
        <v>融资买入</v>
      </c>
      <c r="E1919" s="1">
        <v>4.09</v>
      </c>
      <c r="F1919" s="1">
        <v>4000</v>
      </c>
      <c r="G1919" s="1">
        <v>16360</v>
      </c>
      <c r="H1919" s="1">
        <v>8.18</v>
      </c>
      <c r="I1919" s="1">
        <v>6.72</v>
      </c>
      <c r="J1919" s="1">
        <v>0</v>
      </c>
      <c r="K1919" s="1">
        <v>0</v>
      </c>
      <c r="L1919" s="1">
        <v>0</v>
      </c>
      <c r="M1919" s="1">
        <v>0</v>
      </c>
      <c r="N1919" s="1">
        <v>-16368.18</v>
      </c>
      <c r="O1919" s="1">
        <v>9176.85</v>
      </c>
      <c r="P1919" s="1">
        <v>26000</v>
      </c>
    </row>
    <row r="1920" spans="1:16">
      <c r="A1920" s="1" t="str">
        <f>"20210105"</f>
        <v>20210105</v>
      </c>
      <c r="B1920" s="1"/>
      <c r="C1920" s="1"/>
      <c r="D1920" s="1" t="str">
        <f>"融资借入"</f>
        <v>融资借入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16368.18</v>
      </c>
      <c r="O1920" s="1">
        <v>25545.03</v>
      </c>
      <c r="P1920" s="1">
        <v>0</v>
      </c>
    </row>
    <row r="1921" spans="1:16">
      <c r="A1921" s="1" t="str">
        <f>"20210107"</f>
        <v>20210107</v>
      </c>
      <c r="B1921" s="1" t="str">
        <f>"000543"</f>
        <v>000543</v>
      </c>
      <c r="C1921" s="1" t="str">
        <f>"皖能电力"</f>
        <v>皖能电力</v>
      </c>
      <c r="D1921" s="1" t="str">
        <f>"融资买入"</f>
        <v>融资买入</v>
      </c>
      <c r="E1921" s="1">
        <v>4</v>
      </c>
      <c r="F1921" s="1">
        <v>5000</v>
      </c>
      <c r="G1921" s="1">
        <v>20000</v>
      </c>
      <c r="H1921" s="1">
        <v>10</v>
      </c>
      <c r="I1921" s="1">
        <v>8.23</v>
      </c>
      <c r="J1921" s="1">
        <v>0</v>
      </c>
      <c r="K1921" s="1">
        <v>0</v>
      </c>
      <c r="L1921" s="1">
        <v>0</v>
      </c>
      <c r="M1921" s="1">
        <v>0</v>
      </c>
      <c r="N1921" s="1">
        <v>-20010</v>
      </c>
      <c r="O1921" s="1">
        <v>5535.03</v>
      </c>
      <c r="P1921" s="1">
        <v>31000</v>
      </c>
    </row>
    <row r="1922" spans="1:16">
      <c r="A1922" s="1" t="str">
        <f>"20210107"</f>
        <v>20210107</v>
      </c>
      <c r="B1922" s="1"/>
      <c r="C1922" s="1"/>
      <c r="D1922" s="1" t="str">
        <f>"融资借入"</f>
        <v>融资借入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20010</v>
      </c>
      <c r="O1922" s="1">
        <v>25545.03</v>
      </c>
      <c r="P1922" s="1">
        <v>0</v>
      </c>
    </row>
    <row r="1923" spans="1:16">
      <c r="A1923" s="1" t="str">
        <f>"20210118"</f>
        <v>20210118</v>
      </c>
      <c r="B1923" s="1"/>
      <c r="C1923" s="1"/>
      <c r="D1923" s="1" t="str">
        <f>"偿还融券权益金额"</f>
        <v>偿还融券权益金额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-216</v>
      </c>
      <c r="O1923" s="1">
        <v>25329.03</v>
      </c>
      <c r="P1923" s="1">
        <v>0</v>
      </c>
    </row>
    <row r="1924" spans="1:16">
      <c r="A1924" s="1" t="str">
        <f>"20210118"</f>
        <v>20210118</v>
      </c>
      <c r="B1924" s="1"/>
      <c r="C1924" s="1"/>
      <c r="D1924" s="1" t="str">
        <f>"偿还融券权益金额"</f>
        <v>偿还融券权益金额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-216</v>
      </c>
      <c r="O1924" s="1">
        <v>25113.03</v>
      </c>
      <c r="P1924" s="1">
        <v>0</v>
      </c>
    </row>
    <row r="1925" spans="1:16">
      <c r="A1925" s="1" t="str">
        <f t="shared" ref="A1925:A1931" si="606">"20210120"</f>
        <v>20210120</v>
      </c>
      <c r="B1925" s="1"/>
      <c r="C1925" s="1"/>
      <c r="D1925" s="1" t="str">
        <f t="shared" ref="D1925:D1929" si="607">"偿还融资利息"</f>
        <v>偿还融资利息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-50.41</v>
      </c>
      <c r="O1925" s="1">
        <v>25062.62</v>
      </c>
      <c r="P1925" s="1">
        <v>0</v>
      </c>
    </row>
    <row r="1926" spans="1:16">
      <c r="A1926" s="1" t="str">
        <f t="shared" si="606"/>
        <v>20210120</v>
      </c>
      <c r="B1926" s="1"/>
      <c r="C1926" s="1"/>
      <c r="D1926" s="1" t="str">
        <f t="shared" si="607"/>
        <v>偿还融资利息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-94.7</v>
      </c>
      <c r="O1926" s="1">
        <v>24967.92</v>
      </c>
      <c r="P1926" s="1">
        <v>0</v>
      </c>
    </row>
    <row r="1927" spans="1:16">
      <c r="A1927" s="1" t="str">
        <f t="shared" si="606"/>
        <v>20210120</v>
      </c>
      <c r="B1927" s="1"/>
      <c r="C1927" s="1"/>
      <c r="D1927" s="1" t="str">
        <f t="shared" si="607"/>
        <v>偿还融资利息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-121.72</v>
      </c>
      <c r="O1927" s="1">
        <v>24846.2</v>
      </c>
      <c r="P1927" s="1">
        <v>0</v>
      </c>
    </row>
    <row r="1928" spans="1:16">
      <c r="A1928" s="1" t="str">
        <f t="shared" si="606"/>
        <v>20210120</v>
      </c>
      <c r="B1928" s="1"/>
      <c r="C1928" s="1"/>
      <c r="D1928" s="1" t="str">
        <f t="shared" si="607"/>
        <v>偿还融资利息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-125.68</v>
      </c>
      <c r="O1928" s="1">
        <v>24720.52</v>
      </c>
      <c r="P1928" s="1">
        <v>0</v>
      </c>
    </row>
    <row r="1929" spans="1:16">
      <c r="A1929" s="1" t="str">
        <f t="shared" si="606"/>
        <v>20210120</v>
      </c>
      <c r="B1929" s="1"/>
      <c r="C1929" s="1"/>
      <c r="D1929" s="1" t="str">
        <f t="shared" si="607"/>
        <v>偿还融资利息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-121.72</v>
      </c>
      <c r="O1929" s="1">
        <v>24598.8</v>
      </c>
      <c r="P1929" s="1">
        <v>0</v>
      </c>
    </row>
    <row r="1930" spans="1:16">
      <c r="A1930" s="1" t="str">
        <f t="shared" si="606"/>
        <v>20210120</v>
      </c>
      <c r="B1930" s="1"/>
      <c r="C1930" s="1"/>
      <c r="D1930" s="1" t="str">
        <f>"偿还融券费用"</f>
        <v>偿还融券费用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-122.65</v>
      </c>
      <c r="O1930" s="1">
        <v>24476.15</v>
      </c>
      <c r="P1930" s="1">
        <v>0</v>
      </c>
    </row>
    <row r="1931" spans="1:16">
      <c r="A1931" s="1" t="str">
        <f t="shared" si="606"/>
        <v>20210120</v>
      </c>
      <c r="B1931" s="1"/>
      <c r="C1931" s="1"/>
      <c r="D1931" s="1" t="str">
        <f>"偿还融券费用"</f>
        <v>偿还融券费用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-98.14</v>
      </c>
      <c r="O1931" s="1">
        <v>24378.01</v>
      </c>
      <c r="P1931" s="1">
        <v>0</v>
      </c>
    </row>
    <row r="1932" spans="1:16">
      <c r="A1932" s="1" t="str">
        <f>"20210122"</f>
        <v>20210122</v>
      </c>
      <c r="B1932" s="1" t="str">
        <f t="shared" ref="B1932:B1936" si="608">"000543"</f>
        <v>000543</v>
      </c>
      <c r="C1932" s="1" t="str">
        <f t="shared" ref="C1932:C1936" si="609">"皖能电力"</f>
        <v>皖能电力</v>
      </c>
      <c r="D1932" s="1" t="str">
        <f>"融资买入"</f>
        <v>融资买入</v>
      </c>
      <c r="E1932" s="1">
        <v>3.88</v>
      </c>
      <c r="F1932" s="1">
        <v>5000</v>
      </c>
      <c r="G1932" s="1">
        <v>19400</v>
      </c>
      <c r="H1932" s="1">
        <v>9.7</v>
      </c>
      <c r="I1932" s="1">
        <v>7.98</v>
      </c>
      <c r="J1932" s="1">
        <v>0</v>
      </c>
      <c r="K1932" s="1">
        <v>0</v>
      </c>
      <c r="L1932" s="1">
        <v>0</v>
      </c>
      <c r="M1932" s="1">
        <v>0</v>
      </c>
      <c r="N1932" s="1">
        <v>-19409.7</v>
      </c>
      <c r="O1932" s="1">
        <v>4968.31</v>
      </c>
      <c r="P1932" s="1">
        <v>36000</v>
      </c>
    </row>
    <row r="1933" spans="1:16">
      <c r="A1933" s="1" t="str">
        <f>"20210122"</f>
        <v>20210122</v>
      </c>
      <c r="B1933" s="1"/>
      <c r="C1933" s="1"/>
      <c r="D1933" s="1" t="str">
        <f>"融资借入"</f>
        <v>融资借入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19409.7</v>
      </c>
      <c r="O1933" s="1">
        <v>24378.01</v>
      </c>
      <c r="P1933" s="1">
        <v>0</v>
      </c>
    </row>
    <row r="1934" spans="1:16">
      <c r="A1934" s="1" t="str">
        <f>"20210201"</f>
        <v>20210201</v>
      </c>
      <c r="B1934" s="1" t="str">
        <f t="shared" si="608"/>
        <v>000543</v>
      </c>
      <c r="C1934" s="1" t="str">
        <f t="shared" si="609"/>
        <v>皖能电力</v>
      </c>
      <c r="D1934" s="1" t="str">
        <f>"融资买入"</f>
        <v>融资买入</v>
      </c>
      <c r="E1934" s="1">
        <v>3.73</v>
      </c>
      <c r="F1934" s="1">
        <v>5000</v>
      </c>
      <c r="G1934" s="1">
        <v>18650</v>
      </c>
      <c r="H1934" s="1">
        <v>9.33</v>
      </c>
      <c r="I1934" s="1">
        <v>7.68</v>
      </c>
      <c r="J1934" s="1">
        <v>0</v>
      </c>
      <c r="K1934" s="1">
        <v>0</v>
      </c>
      <c r="L1934" s="1">
        <v>0</v>
      </c>
      <c r="M1934" s="1">
        <v>0</v>
      </c>
      <c r="N1934" s="1">
        <v>-18659.33</v>
      </c>
      <c r="O1934" s="1">
        <v>5718.68</v>
      </c>
      <c r="P1934" s="1">
        <v>41000</v>
      </c>
    </row>
    <row r="1935" spans="1:16">
      <c r="A1935" s="1" t="str">
        <f>"20210201"</f>
        <v>20210201</v>
      </c>
      <c r="B1935" s="1"/>
      <c r="C1935" s="1"/>
      <c r="D1935" s="1" t="str">
        <f>"融资借入"</f>
        <v>融资借入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18659.33</v>
      </c>
      <c r="O1935" s="1">
        <v>24378.01</v>
      </c>
      <c r="P1935" s="1">
        <v>0</v>
      </c>
    </row>
    <row r="1936" spans="1:16">
      <c r="A1936" s="1" t="str">
        <f t="shared" ref="A1936:A1942" si="610">"20210312"</f>
        <v>20210312</v>
      </c>
      <c r="B1936" s="1" t="str">
        <f t="shared" si="608"/>
        <v>000543</v>
      </c>
      <c r="C1936" s="1" t="str">
        <f t="shared" si="609"/>
        <v>皖能电力</v>
      </c>
      <c r="D1936" s="1" t="str">
        <f>"卖券还款"</f>
        <v>卖券还款</v>
      </c>
      <c r="E1936" s="1">
        <v>4.23</v>
      </c>
      <c r="F1936" s="1">
        <v>5000</v>
      </c>
      <c r="G1936" s="1">
        <v>21150</v>
      </c>
      <c r="H1936" s="1">
        <v>10.58</v>
      </c>
      <c r="I1936" s="1">
        <v>8.71</v>
      </c>
      <c r="J1936" s="1">
        <v>21.15</v>
      </c>
      <c r="K1936" s="1">
        <v>0</v>
      </c>
      <c r="L1936" s="1">
        <v>0</v>
      </c>
      <c r="M1936" s="1">
        <v>0</v>
      </c>
      <c r="N1936" s="1">
        <v>21118.27</v>
      </c>
      <c r="O1936" s="1">
        <v>45496.28</v>
      </c>
      <c r="P1936" s="1">
        <v>36000</v>
      </c>
    </row>
    <row r="1937" spans="1:16">
      <c r="A1937" s="1" t="str">
        <f t="shared" si="610"/>
        <v>20210312</v>
      </c>
      <c r="B1937" s="1"/>
      <c r="C1937" s="1"/>
      <c r="D1937" s="1" t="str">
        <f t="shared" ref="D1937:D1941" si="611">"偿还融资利息"</f>
        <v>偿还融资利息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-84.01</v>
      </c>
      <c r="O1937" s="1">
        <v>45412.27</v>
      </c>
      <c r="P1937" s="1">
        <v>0</v>
      </c>
    </row>
    <row r="1938" spans="1:16">
      <c r="A1938" s="1" t="str">
        <f t="shared" si="610"/>
        <v>20210312</v>
      </c>
      <c r="B1938" s="1"/>
      <c r="C1938" s="1"/>
      <c r="D1938" s="1" t="str">
        <f t="shared" ref="D1938:D1942" si="612">"偿还融资负债本金"</f>
        <v>偿还融资负债本金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-7251.79</v>
      </c>
      <c r="O1938" s="1">
        <v>38160.48</v>
      </c>
      <c r="P1938" s="1">
        <v>0</v>
      </c>
    </row>
    <row r="1939" spans="1:16">
      <c r="A1939" s="1" t="str">
        <f t="shared" si="610"/>
        <v>20210312</v>
      </c>
      <c r="B1939" s="1"/>
      <c r="C1939" s="1"/>
      <c r="D1939" s="1" t="str">
        <f t="shared" si="611"/>
        <v>偿还融资利息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-143.49</v>
      </c>
      <c r="O1939" s="1">
        <v>38016.99</v>
      </c>
      <c r="P1939" s="1">
        <v>0</v>
      </c>
    </row>
    <row r="1940" spans="1:16">
      <c r="A1940" s="1" t="str">
        <f t="shared" si="610"/>
        <v>20210312</v>
      </c>
      <c r="B1940" s="1"/>
      <c r="C1940" s="1"/>
      <c r="D1940" s="1" t="str">
        <f t="shared" si="612"/>
        <v>偿还融资负债本金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-12366.18</v>
      </c>
      <c r="O1940" s="1">
        <v>25650.81</v>
      </c>
      <c r="P1940" s="1">
        <v>0</v>
      </c>
    </row>
    <row r="1941" spans="1:16">
      <c r="A1941" s="1" t="str">
        <f t="shared" si="610"/>
        <v>20210312</v>
      </c>
      <c r="B1941" s="1"/>
      <c r="C1941" s="1"/>
      <c r="D1941" s="1" t="str">
        <f t="shared" si="611"/>
        <v>偿还融资利息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-184.41</v>
      </c>
      <c r="O1941" s="1">
        <v>25466.4</v>
      </c>
      <c r="P1941" s="1">
        <v>0</v>
      </c>
    </row>
    <row r="1942" spans="1:16">
      <c r="A1942" s="1" t="str">
        <f t="shared" si="610"/>
        <v>20210312</v>
      </c>
      <c r="B1942" s="1"/>
      <c r="C1942" s="1"/>
      <c r="D1942" s="1" t="str">
        <f t="shared" si="612"/>
        <v>偿还融资负债本金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-1035.42</v>
      </c>
      <c r="O1942" s="1">
        <v>24430.98</v>
      </c>
      <c r="P1942" s="1">
        <v>0</v>
      </c>
    </row>
    <row r="1943" spans="1:16">
      <c r="A1943" s="1" t="str">
        <f t="shared" ref="A1943:A1945" si="613">"20210319"</f>
        <v>20210319</v>
      </c>
      <c r="B1943" s="1"/>
      <c r="C1943" s="1"/>
      <c r="D1943" s="1" t="str">
        <f>"利息归本"</f>
        <v>利息归本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22.27</v>
      </c>
      <c r="O1943" s="1">
        <v>24453.25</v>
      </c>
      <c r="P1943" s="1">
        <v>0</v>
      </c>
    </row>
    <row r="1944" spans="1:16">
      <c r="A1944" s="1" t="str">
        <f t="shared" si="613"/>
        <v>20210319</v>
      </c>
      <c r="B1944" s="1"/>
      <c r="C1944" s="1"/>
      <c r="D1944" s="1" t="str">
        <f>"偿还融资利息"</f>
        <v>偿还融资利息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-27.53</v>
      </c>
      <c r="O1944" s="1">
        <v>24425.72</v>
      </c>
      <c r="P1944" s="1">
        <v>0</v>
      </c>
    </row>
    <row r="1945" spans="1:16">
      <c r="A1945" s="1" t="str">
        <f t="shared" si="613"/>
        <v>20210319</v>
      </c>
      <c r="B1945" s="1"/>
      <c r="C1945" s="1"/>
      <c r="D1945" s="1" t="str">
        <f>"偿还融资利息"</f>
        <v>偿还融资利息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-47.71</v>
      </c>
      <c r="O1945" s="1">
        <v>24378.01</v>
      </c>
      <c r="P1945" s="1">
        <v>0</v>
      </c>
    </row>
    <row r="1946" spans="1:16">
      <c r="A1946" s="1" t="str">
        <f t="shared" ref="A1946:A1948" si="614">"20210414"</f>
        <v>20210414</v>
      </c>
      <c r="B1946" s="1" t="str">
        <f>"510300"</f>
        <v>510300</v>
      </c>
      <c r="C1946" s="1" t="str">
        <f>"300ETF"</f>
        <v>300ETF</v>
      </c>
      <c r="D1946" s="1" t="str">
        <f>"买券还券"</f>
        <v>买券还券</v>
      </c>
      <c r="E1946" s="1">
        <v>4.975</v>
      </c>
      <c r="F1946" s="1">
        <v>3000</v>
      </c>
      <c r="G1946" s="1">
        <v>14925</v>
      </c>
      <c r="H1946" s="1">
        <v>5</v>
      </c>
      <c r="I1946" s="1">
        <v>4.33</v>
      </c>
      <c r="J1946" s="1">
        <v>0</v>
      </c>
      <c r="K1946" s="1">
        <v>0</v>
      </c>
      <c r="L1946" s="1">
        <v>0</v>
      </c>
      <c r="M1946" s="1">
        <v>0</v>
      </c>
      <c r="N1946" s="1">
        <v>-14930</v>
      </c>
      <c r="O1946" s="1">
        <v>9448.01</v>
      </c>
      <c r="P1946" s="1">
        <v>3000</v>
      </c>
    </row>
    <row r="1947" spans="1:16">
      <c r="A1947" s="1" t="str">
        <f t="shared" si="614"/>
        <v>20210414</v>
      </c>
      <c r="B1947" s="1" t="str">
        <f>"510300"</f>
        <v>510300</v>
      </c>
      <c r="C1947" s="1" t="str">
        <f>"300ETF"</f>
        <v>300ETF</v>
      </c>
      <c r="D1947" s="1" t="str">
        <f>"偿还融券负债"</f>
        <v>偿还融券负债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</row>
    <row r="1948" spans="1:16">
      <c r="A1948" s="1" t="str">
        <f t="shared" si="614"/>
        <v>20210414</v>
      </c>
      <c r="B1948" s="1"/>
      <c r="C1948" s="1"/>
      <c r="D1948" s="1" t="str">
        <f>"偿还融券费用"</f>
        <v>偿还融券费用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-307.65</v>
      </c>
      <c r="O1948" s="1">
        <v>9140.36</v>
      </c>
      <c r="P1948" s="1">
        <v>0</v>
      </c>
    </row>
    <row r="1949" spans="1:16">
      <c r="A1949" s="1" t="str">
        <f t="shared" ref="A1949:A1951" si="615">"20210527"</f>
        <v>20210527</v>
      </c>
      <c r="B1949" s="1" t="str">
        <f>"000543"</f>
        <v>000543</v>
      </c>
      <c r="C1949" s="1" t="str">
        <f>"皖能电力"</f>
        <v>皖能电力</v>
      </c>
      <c r="D1949" s="1" t="str">
        <f>"红利入账"</f>
        <v>红利入账</v>
      </c>
      <c r="E1949" s="1">
        <v>0</v>
      </c>
      <c r="F1949" s="1">
        <v>0</v>
      </c>
      <c r="G1949" s="1">
        <v>3116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3116</v>
      </c>
      <c r="O1949" s="1">
        <v>12256.36</v>
      </c>
      <c r="P1949" s="1">
        <v>0</v>
      </c>
    </row>
    <row r="1950" spans="1:16">
      <c r="A1950" s="1" t="str">
        <f t="shared" si="615"/>
        <v>20210527</v>
      </c>
      <c r="B1950" s="1" t="str">
        <f>"000543"</f>
        <v>000543</v>
      </c>
      <c r="C1950" s="1" t="str">
        <f>"皖能电力"</f>
        <v>皖能电力</v>
      </c>
      <c r="D1950" s="1" t="str">
        <f>"融资买入"</f>
        <v>融资买入</v>
      </c>
      <c r="E1950" s="1">
        <v>3.98</v>
      </c>
      <c r="F1950" s="1">
        <v>5000</v>
      </c>
      <c r="G1950" s="1">
        <v>19900</v>
      </c>
      <c r="H1950" s="1">
        <v>5.97</v>
      </c>
      <c r="I1950" s="1">
        <v>4.2</v>
      </c>
      <c r="J1950" s="1">
        <v>0</v>
      </c>
      <c r="K1950" s="1">
        <v>0</v>
      </c>
      <c r="L1950" s="1">
        <v>0</v>
      </c>
      <c r="M1950" s="1">
        <v>0</v>
      </c>
      <c r="N1950" s="1">
        <v>-19905.97</v>
      </c>
      <c r="O1950" s="1">
        <v>-7649.61</v>
      </c>
      <c r="P1950" s="1">
        <v>41000</v>
      </c>
    </row>
    <row r="1951" spans="1:16">
      <c r="A1951" s="1" t="str">
        <f t="shared" si="615"/>
        <v>20210527</v>
      </c>
      <c r="B1951" s="1"/>
      <c r="C1951" s="1"/>
      <c r="D1951" s="1" t="str">
        <f>"融资借入"</f>
        <v>融资借入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19905.97</v>
      </c>
      <c r="O1951" s="1">
        <v>12256.36</v>
      </c>
      <c r="P1951" s="1">
        <v>0</v>
      </c>
    </row>
    <row r="1952" spans="1:16">
      <c r="A1952" s="1" t="str">
        <f t="shared" ref="A1952:A1954" si="616">"20210528"</f>
        <v>20210528</v>
      </c>
      <c r="B1952" s="1"/>
      <c r="C1952" s="1"/>
      <c r="D1952" s="1" t="str">
        <f>"偿还融券费用"</f>
        <v>偿还融券费用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-488.49</v>
      </c>
      <c r="O1952" s="1">
        <v>11767.87</v>
      </c>
      <c r="P1952" s="1">
        <v>0</v>
      </c>
    </row>
    <row r="1953" spans="1:16">
      <c r="A1953" s="1" t="str">
        <f t="shared" si="616"/>
        <v>20210528</v>
      </c>
      <c r="B1953" s="1"/>
      <c r="C1953" s="1"/>
      <c r="D1953" s="1" t="str">
        <f>"偿还融资利息"</f>
        <v>偿还融资利息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-543.18</v>
      </c>
      <c r="O1953" s="1">
        <v>11224.69</v>
      </c>
      <c r="P1953" s="1">
        <v>0</v>
      </c>
    </row>
    <row r="1954" spans="1:16">
      <c r="A1954" s="1" t="str">
        <f t="shared" si="616"/>
        <v>20210528</v>
      </c>
      <c r="B1954" s="1"/>
      <c r="C1954" s="1"/>
      <c r="D1954" s="1" t="str">
        <f>"偿还融资负债本金"</f>
        <v>偿还融资负债本金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-2084.33</v>
      </c>
      <c r="O1954" s="1">
        <v>9140.36</v>
      </c>
      <c r="P1954" s="1">
        <v>0</v>
      </c>
    </row>
    <row r="1955" spans="1:16">
      <c r="A1955" s="1" t="str">
        <f t="shared" ref="A1955:A1957" si="617">"20210609"</f>
        <v>20210609</v>
      </c>
      <c r="B1955" s="1" t="str">
        <f>"002183"</f>
        <v>002183</v>
      </c>
      <c r="C1955" s="1" t="str">
        <f>"怡 亚 通"</f>
        <v>怡 亚 通</v>
      </c>
      <c r="D1955" s="1" t="str">
        <f>"红利入账"</f>
        <v>红利入账</v>
      </c>
      <c r="E1955" s="1">
        <v>0</v>
      </c>
      <c r="F1955" s="1">
        <v>0</v>
      </c>
      <c r="G1955" s="1">
        <v>250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250</v>
      </c>
      <c r="O1955" s="1">
        <v>9390.36</v>
      </c>
      <c r="P1955" s="1">
        <v>0</v>
      </c>
    </row>
    <row r="1956" spans="1:16">
      <c r="A1956" s="1" t="str">
        <f t="shared" si="617"/>
        <v>20210609</v>
      </c>
      <c r="B1956" s="1" t="str">
        <f>"000543"</f>
        <v>000543</v>
      </c>
      <c r="C1956" s="1" t="str">
        <f>"皖能电力"</f>
        <v>皖能电力</v>
      </c>
      <c r="D1956" s="1" t="str">
        <f>"融资买入"</f>
        <v>融资买入</v>
      </c>
      <c r="E1956" s="1">
        <v>3.81</v>
      </c>
      <c r="F1956" s="1">
        <v>5000</v>
      </c>
      <c r="G1956" s="1">
        <v>19050</v>
      </c>
      <c r="H1956" s="1">
        <v>5.72</v>
      </c>
      <c r="I1956" s="1">
        <v>4.03</v>
      </c>
      <c r="J1956" s="1">
        <v>0</v>
      </c>
      <c r="K1956" s="1">
        <v>0</v>
      </c>
      <c r="L1956" s="1">
        <v>0</v>
      </c>
      <c r="M1956" s="1">
        <v>0</v>
      </c>
      <c r="N1956" s="1">
        <v>-19055.72</v>
      </c>
      <c r="O1956" s="1">
        <v>-9665.36</v>
      </c>
      <c r="P1956" s="1">
        <v>46000</v>
      </c>
    </row>
    <row r="1957" spans="1:16">
      <c r="A1957" s="1" t="str">
        <f t="shared" si="617"/>
        <v>20210609</v>
      </c>
      <c r="B1957" s="1"/>
      <c r="C1957" s="1"/>
      <c r="D1957" s="1" t="str">
        <f>"融资借入"</f>
        <v>融资借入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19055.72</v>
      </c>
      <c r="O1957" s="1">
        <v>9390.36</v>
      </c>
      <c r="P1957" s="1">
        <v>0</v>
      </c>
    </row>
    <row r="1958" spans="1:16">
      <c r="A1958" s="1" t="str">
        <f>"20210616"</f>
        <v>20210616</v>
      </c>
      <c r="B1958" s="1" t="str">
        <f>"600028"</f>
        <v>600028</v>
      </c>
      <c r="C1958" s="1" t="str">
        <f>"中国石化"</f>
        <v>中国石化</v>
      </c>
      <c r="D1958" s="1" t="str">
        <f>"红利入账"</f>
        <v>红利入账</v>
      </c>
      <c r="E1958" s="1">
        <v>0</v>
      </c>
      <c r="F1958" s="1">
        <v>10700</v>
      </c>
      <c r="G1958" s="1">
        <v>1391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1391</v>
      </c>
      <c r="O1958" s="1">
        <v>10781.36</v>
      </c>
      <c r="P1958" s="1">
        <v>0</v>
      </c>
    </row>
    <row r="1959" spans="1:16">
      <c r="A1959" s="1" t="str">
        <f>"20210617"</f>
        <v>20210617</v>
      </c>
      <c r="B1959" s="1"/>
      <c r="C1959" s="1"/>
      <c r="D1959" s="1" t="str">
        <f t="shared" ref="D1959:D1963" si="618">"偿还融资利息"</f>
        <v>偿还融资利息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-657.04</v>
      </c>
      <c r="O1959" s="1">
        <v>10124.32</v>
      </c>
      <c r="P1959" s="1">
        <v>0</v>
      </c>
    </row>
    <row r="1960" spans="1:16">
      <c r="A1960" s="1" t="str">
        <f>"20210617"</f>
        <v>20210617</v>
      </c>
      <c r="B1960" s="1"/>
      <c r="C1960" s="1"/>
      <c r="D1960" s="1" t="str">
        <f>"偿还融资负债本金"</f>
        <v>偿还融资负债本金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-982.96</v>
      </c>
      <c r="O1960" s="1">
        <v>9141.36</v>
      </c>
      <c r="P1960" s="1">
        <v>0</v>
      </c>
    </row>
    <row r="1961" spans="1:16">
      <c r="A1961" s="1" t="str">
        <f t="shared" ref="A1961:A1963" si="619">"20210618"</f>
        <v>20210618</v>
      </c>
      <c r="B1961" s="1"/>
      <c r="C1961" s="1"/>
      <c r="D1961" s="1" t="str">
        <f>"利息归本"</f>
        <v>利息归本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11.77</v>
      </c>
      <c r="O1961" s="1">
        <v>9153.13</v>
      </c>
      <c r="P1961" s="1">
        <v>0</v>
      </c>
    </row>
    <row r="1962" spans="1:16">
      <c r="A1962" s="1" t="str">
        <f t="shared" si="619"/>
        <v>20210618</v>
      </c>
      <c r="B1962" s="1"/>
      <c r="C1962" s="1"/>
      <c r="D1962" s="1" t="str">
        <f t="shared" si="618"/>
        <v>偿还融资利息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-8.54</v>
      </c>
      <c r="O1962" s="1">
        <v>9144.59</v>
      </c>
      <c r="P1962" s="1">
        <v>0</v>
      </c>
    </row>
    <row r="1963" spans="1:16">
      <c r="A1963" s="1" t="str">
        <f t="shared" si="619"/>
        <v>20210618</v>
      </c>
      <c r="B1963" s="1"/>
      <c r="C1963" s="1"/>
      <c r="D1963" s="1" t="str">
        <f t="shared" si="618"/>
        <v>偿还融资利息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-4.23</v>
      </c>
      <c r="O1963" s="1">
        <v>9140.36</v>
      </c>
      <c r="P1963" s="1">
        <v>0</v>
      </c>
    </row>
    <row r="1964" spans="1:16">
      <c r="A1964" s="1" t="str">
        <f>"20210730"</f>
        <v>20210730</v>
      </c>
      <c r="B1964" s="1" t="str">
        <f>"510300"</f>
        <v>510300</v>
      </c>
      <c r="C1964" s="1" t="str">
        <f>"300ETF"</f>
        <v>300ETF</v>
      </c>
      <c r="D1964" s="1" t="str">
        <f>"买券还券"</f>
        <v>买券还券</v>
      </c>
      <c r="E1964" s="1">
        <v>4.847</v>
      </c>
      <c r="F1964" s="1">
        <v>1800</v>
      </c>
      <c r="G1964" s="1">
        <v>8724.6</v>
      </c>
      <c r="H1964" s="1">
        <v>5</v>
      </c>
      <c r="I1964" s="1">
        <v>4.65</v>
      </c>
      <c r="J1964" s="1">
        <v>0</v>
      </c>
      <c r="K1964" s="1">
        <v>0</v>
      </c>
      <c r="L1964" s="1">
        <v>0</v>
      </c>
      <c r="M1964" s="1">
        <v>0</v>
      </c>
      <c r="N1964" s="1">
        <v>-8729.6</v>
      </c>
      <c r="O1964" s="1">
        <v>410.76</v>
      </c>
      <c r="P1964" s="1">
        <v>1800</v>
      </c>
    </row>
    <row r="1965" spans="1:16">
      <c r="A1965" s="1" t="str">
        <f>"20210730"</f>
        <v>20210730</v>
      </c>
      <c r="B1965" s="1" t="str">
        <f>"510300"</f>
        <v>510300</v>
      </c>
      <c r="C1965" s="1" t="str">
        <f>"300ETF"</f>
        <v>300ETF</v>
      </c>
      <c r="D1965" s="1" t="str">
        <f>"偿还融券负债"</f>
        <v>偿还融券负债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</row>
    <row r="1966" spans="1:16">
      <c r="A1966" s="1" t="str">
        <f>"20210826"</f>
        <v>20210826</v>
      </c>
      <c r="B1966" s="1" t="str">
        <f>"000601"</f>
        <v>000601</v>
      </c>
      <c r="C1966" s="1" t="str">
        <f>"韶能股份"</f>
        <v>韶能股份</v>
      </c>
      <c r="D1966" s="1" t="str">
        <f>"红利入账"</f>
        <v>红利入账</v>
      </c>
      <c r="E1966" s="1">
        <v>0</v>
      </c>
      <c r="F1966" s="1">
        <v>0</v>
      </c>
      <c r="G1966" s="1">
        <v>1500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1500</v>
      </c>
      <c r="O1966" s="1">
        <v>1910.76</v>
      </c>
      <c r="P1966" s="1">
        <v>0</v>
      </c>
    </row>
    <row r="1967" spans="1:16">
      <c r="A1967" s="1" t="str">
        <f>"20210901"</f>
        <v>20210901</v>
      </c>
      <c r="B1967" s="1"/>
      <c r="C1967" s="1"/>
      <c r="D1967" s="1" t="str">
        <f t="shared" ref="D1967:D1972" si="620">"偿还融资利息"</f>
        <v>偿还融资利息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-572.51</v>
      </c>
      <c r="O1967" s="1">
        <v>1338.25</v>
      </c>
      <c r="P1967" s="1">
        <v>0</v>
      </c>
    </row>
    <row r="1968" spans="1:16">
      <c r="A1968" s="1" t="str">
        <f>"20210901"</f>
        <v>20210901</v>
      </c>
      <c r="B1968" s="1"/>
      <c r="C1968" s="1"/>
      <c r="D1968" s="1" t="str">
        <f t="shared" ref="D1968:D1973" si="621">"偿还融资负债本金"</f>
        <v>偿还融资负债本金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-927.49</v>
      </c>
      <c r="O1968" s="1">
        <v>410.76</v>
      </c>
      <c r="P1968" s="1">
        <v>0</v>
      </c>
    </row>
    <row r="1969" spans="1:16">
      <c r="A1969" s="1" t="str">
        <f t="shared" ref="A1969:A1973" si="622">"20210903"</f>
        <v>20210903</v>
      </c>
      <c r="B1969" s="1" t="str">
        <f>"000543"</f>
        <v>000543</v>
      </c>
      <c r="C1969" s="1" t="str">
        <f>"皖能电力"</f>
        <v>皖能电力</v>
      </c>
      <c r="D1969" s="1" t="str">
        <f>"卖券还款"</f>
        <v>卖券还款</v>
      </c>
      <c r="E1969" s="1">
        <v>4.01</v>
      </c>
      <c r="F1969" s="1">
        <v>5000</v>
      </c>
      <c r="G1969" s="1">
        <v>20050</v>
      </c>
      <c r="H1969" s="1">
        <v>6.02</v>
      </c>
      <c r="I1969" s="1">
        <v>4.24</v>
      </c>
      <c r="J1969" s="1">
        <v>20.05</v>
      </c>
      <c r="K1969" s="1">
        <v>0</v>
      </c>
      <c r="L1969" s="1">
        <v>0</v>
      </c>
      <c r="M1969" s="1">
        <v>0</v>
      </c>
      <c r="N1969" s="1">
        <v>20023.93</v>
      </c>
      <c r="O1969" s="1">
        <v>20434.69</v>
      </c>
      <c r="P1969" s="1">
        <v>41000</v>
      </c>
    </row>
    <row r="1970" spans="1:16">
      <c r="A1970" s="1" t="str">
        <f t="shared" si="622"/>
        <v>20210903</v>
      </c>
      <c r="B1970" s="1"/>
      <c r="C1970" s="1"/>
      <c r="D1970" s="1" t="str">
        <f t="shared" si="620"/>
        <v>偿还融资利息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-6.46</v>
      </c>
      <c r="O1970" s="1">
        <v>20428.23</v>
      </c>
      <c r="P1970" s="1">
        <v>0</v>
      </c>
    </row>
    <row r="1971" spans="1:16">
      <c r="A1971" s="1" t="str">
        <f t="shared" si="622"/>
        <v>20210903</v>
      </c>
      <c r="B1971" s="1"/>
      <c r="C1971" s="1"/>
      <c r="D1971" s="1" t="str">
        <f t="shared" si="621"/>
        <v>偿还融资负债本金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-13925.03</v>
      </c>
      <c r="O1971" s="1">
        <v>6503.2</v>
      </c>
      <c r="P1971" s="1">
        <v>0</v>
      </c>
    </row>
    <row r="1972" spans="1:23">
      <c r="A1972" s="1" t="str">
        <f t="shared" si="622"/>
        <v>20210903</v>
      </c>
      <c r="B1972" s="1"/>
      <c r="C1972" s="1"/>
      <c r="D1972" s="1" t="str">
        <f t="shared" si="620"/>
        <v>偿还融资利息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-457.24</v>
      </c>
      <c r="O1972" s="1">
        <v>6045.96</v>
      </c>
      <c r="P1972" s="1">
        <v>0</v>
      </c>
      <c r="S1972">
        <v>10</v>
      </c>
      <c r="T1972">
        <v>-2</v>
      </c>
      <c r="U1972">
        <v>-3</v>
      </c>
      <c r="V1972">
        <v>4</v>
      </c>
      <c r="W1972">
        <v>9</v>
      </c>
    </row>
    <row r="1973" spans="1:23">
      <c r="A1973" s="1" t="str">
        <f t="shared" si="622"/>
        <v>20210903</v>
      </c>
      <c r="B1973" s="1"/>
      <c r="C1973" s="1"/>
      <c r="D1973" s="1" t="str">
        <f t="shared" si="621"/>
        <v>偿还融资负债本金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-5580.97</v>
      </c>
      <c r="O1973" s="1">
        <v>464.99</v>
      </c>
      <c r="P1973" s="1">
        <v>0</v>
      </c>
      <c r="S1973">
        <v>5</v>
      </c>
      <c r="T1973">
        <v>1</v>
      </c>
      <c r="U1973">
        <v>4</v>
      </c>
      <c r="V1973">
        <v>-5</v>
      </c>
      <c r="W1973">
        <f>W1972+S1973+T1973+U1973+V1973</f>
        <v>14</v>
      </c>
    </row>
    <row r="1974" spans="1:16">
      <c r="A1974" s="1" t="str">
        <f>"20210906"</f>
        <v>20210906</v>
      </c>
      <c r="B1974" s="1" t="str">
        <f>"000543"</f>
        <v>000543</v>
      </c>
      <c r="C1974" s="1" t="str">
        <f>"皖能电力"</f>
        <v>皖能电力</v>
      </c>
      <c r="D1974" s="1" t="str">
        <f>"股息红利差异扣税"</f>
        <v>股息红利差异扣税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-38</v>
      </c>
      <c r="O1974" s="1">
        <v>426.99</v>
      </c>
      <c r="P1974" s="1">
        <v>0</v>
      </c>
    </row>
    <row r="1975" spans="1:16">
      <c r="A1975" s="1" t="str">
        <f t="shared" ref="A1975:A1979" si="623">"20210907"</f>
        <v>20210907</v>
      </c>
      <c r="B1975" s="1" t="str">
        <f>"000543"</f>
        <v>000543</v>
      </c>
      <c r="C1975" s="1" t="str">
        <f>"皖能电力"</f>
        <v>皖能电力</v>
      </c>
      <c r="D1975" s="1" t="str">
        <f>"卖券还款"</f>
        <v>卖券还款</v>
      </c>
      <c r="E1975" s="1">
        <v>4.15</v>
      </c>
      <c r="F1975" s="1">
        <v>5000</v>
      </c>
      <c r="G1975" s="1">
        <v>20750</v>
      </c>
      <c r="H1975" s="1">
        <v>6.23</v>
      </c>
      <c r="I1975" s="1">
        <v>4.38</v>
      </c>
      <c r="J1975" s="1">
        <v>20.78</v>
      </c>
      <c r="K1975" s="1">
        <v>0</v>
      </c>
      <c r="L1975" s="1">
        <v>0</v>
      </c>
      <c r="M1975" s="1">
        <v>0</v>
      </c>
      <c r="N1975" s="1">
        <v>20722.99</v>
      </c>
      <c r="O1975" s="1">
        <v>21149.98</v>
      </c>
      <c r="P1975" s="1">
        <v>36000</v>
      </c>
    </row>
    <row r="1976" spans="1:16">
      <c r="A1976" s="1" t="str">
        <f t="shared" si="623"/>
        <v>20210907</v>
      </c>
      <c r="B1976" s="1"/>
      <c r="C1976" s="1"/>
      <c r="D1976" s="1" t="str">
        <f>"偿还融资利息"</f>
        <v>偿还融资利息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-13.29</v>
      </c>
      <c r="O1976" s="1">
        <v>21136.69</v>
      </c>
      <c r="P1976" s="1">
        <v>0</v>
      </c>
    </row>
    <row r="1977" spans="1:16">
      <c r="A1977" s="1" t="str">
        <f t="shared" si="623"/>
        <v>20210907</v>
      </c>
      <c r="B1977" s="1"/>
      <c r="C1977" s="1"/>
      <c r="D1977" s="1" t="str">
        <f>"偿还融资负债本金"</f>
        <v>偿还融资负债本金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-14325</v>
      </c>
      <c r="O1977" s="1">
        <v>6811.69</v>
      </c>
      <c r="P1977" s="1">
        <v>0</v>
      </c>
    </row>
    <row r="1978" spans="1:16">
      <c r="A1978" s="1" t="str">
        <f t="shared" si="623"/>
        <v>20210907</v>
      </c>
      <c r="B1978" s="1"/>
      <c r="C1978" s="1"/>
      <c r="D1978" s="1" t="str">
        <f>"偿还融资利息"</f>
        <v>偿还融资利息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-834.62</v>
      </c>
      <c r="O1978" s="1">
        <v>5977.07</v>
      </c>
      <c r="P1978" s="1">
        <v>0</v>
      </c>
    </row>
    <row r="1979" spans="1:16">
      <c r="A1979" s="1" t="str">
        <f t="shared" si="623"/>
        <v>20210907</v>
      </c>
      <c r="B1979" s="1"/>
      <c r="C1979" s="1"/>
      <c r="D1979" s="1" t="str">
        <f>"偿还融资负债本金"</f>
        <v>偿还融资负债本金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-5494.09</v>
      </c>
      <c r="O1979" s="1">
        <v>482.98</v>
      </c>
      <c r="P1979" s="1">
        <v>0</v>
      </c>
    </row>
    <row r="1980" spans="1:16">
      <c r="A1980" s="1" t="str">
        <f t="shared" ref="A1980:A1985" si="624">"20210908"</f>
        <v>20210908</v>
      </c>
      <c r="B1980" s="1" t="str">
        <f>"000543"</f>
        <v>000543</v>
      </c>
      <c r="C1980" s="1" t="str">
        <f>"皖能电力"</f>
        <v>皖能电力</v>
      </c>
      <c r="D1980" s="1" t="str">
        <f>"股息红利差异扣税"</f>
        <v>股息红利差异扣税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-38</v>
      </c>
      <c r="O1980" s="1">
        <v>444.98</v>
      </c>
      <c r="P1980" s="1">
        <v>0</v>
      </c>
    </row>
    <row r="1981" spans="1:16">
      <c r="A1981" s="1" t="str">
        <f t="shared" si="624"/>
        <v>20210908</v>
      </c>
      <c r="B1981" s="1" t="str">
        <f>"000543"</f>
        <v>000543</v>
      </c>
      <c r="C1981" s="1" t="str">
        <f>"皖能电力"</f>
        <v>皖能电力</v>
      </c>
      <c r="D1981" s="1" t="str">
        <f>"卖券还款"</f>
        <v>卖券还款</v>
      </c>
      <c r="E1981" s="1">
        <v>4.36</v>
      </c>
      <c r="F1981" s="1">
        <v>3000</v>
      </c>
      <c r="G1981" s="1">
        <v>13080</v>
      </c>
      <c r="H1981" s="1">
        <v>5</v>
      </c>
      <c r="I1981" s="1">
        <v>3.84</v>
      </c>
      <c r="J1981" s="1">
        <v>13.08</v>
      </c>
      <c r="K1981" s="1">
        <v>0</v>
      </c>
      <c r="L1981" s="1">
        <v>0</v>
      </c>
      <c r="M1981" s="1">
        <v>0</v>
      </c>
      <c r="N1981" s="1">
        <v>13061.92</v>
      </c>
      <c r="O1981" s="1">
        <v>13506.9</v>
      </c>
      <c r="P1981" s="1">
        <v>33000</v>
      </c>
    </row>
    <row r="1982" spans="1:16">
      <c r="A1982" s="1" t="str">
        <f t="shared" si="624"/>
        <v>20210908</v>
      </c>
      <c r="B1982" s="1"/>
      <c r="C1982" s="1"/>
      <c r="D1982" s="1" t="str">
        <f>"偿还融资利息"</f>
        <v>偿还融资利息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-2.53</v>
      </c>
      <c r="O1982" s="1">
        <v>13504.37</v>
      </c>
      <c r="P1982" s="1">
        <v>0</v>
      </c>
    </row>
    <row r="1983" spans="1:16">
      <c r="A1983" s="1" t="str">
        <f t="shared" si="624"/>
        <v>20210908</v>
      </c>
      <c r="B1983" s="1"/>
      <c r="C1983" s="1"/>
      <c r="D1983" s="1" t="str">
        <f>"偿还融资负债本金"</f>
        <v>偿还融资负债本金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-10914.11</v>
      </c>
      <c r="O1983" s="1">
        <v>2590.26</v>
      </c>
      <c r="P1983" s="1">
        <v>0</v>
      </c>
    </row>
    <row r="1984" spans="1:16">
      <c r="A1984" s="1" t="str">
        <f t="shared" si="624"/>
        <v>20210908</v>
      </c>
      <c r="B1984" s="1"/>
      <c r="C1984" s="1"/>
      <c r="D1984" s="1" t="str">
        <f>"偿还融资利息"</f>
        <v>偿还融资利息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-402.22</v>
      </c>
      <c r="O1984" s="1">
        <v>2188.04</v>
      </c>
      <c r="P1984" s="1">
        <v>0</v>
      </c>
    </row>
    <row r="1985" spans="1:16">
      <c r="A1985" s="1" t="str">
        <f t="shared" si="624"/>
        <v>20210908</v>
      </c>
      <c r="B1985" s="1"/>
      <c r="C1985" s="1"/>
      <c r="D1985" s="1" t="str">
        <f>"偿还融资负债本金"</f>
        <v>偿还融资负债本金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-1708.82</v>
      </c>
      <c r="O1985" s="1">
        <v>479.22</v>
      </c>
      <c r="P1985" s="1">
        <v>0</v>
      </c>
    </row>
    <row r="1986" spans="1:16">
      <c r="A1986" s="1" t="str">
        <f>"20210909"</f>
        <v>20210909</v>
      </c>
      <c r="B1986" s="1" t="str">
        <f>"000543"</f>
        <v>000543</v>
      </c>
      <c r="C1986" s="1" t="str">
        <f>"皖能电力"</f>
        <v>皖能电力</v>
      </c>
      <c r="D1986" s="1" t="str">
        <f>"股息红利差异扣税"</f>
        <v>股息红利差异扣税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-22.8</v>
      </c>
      <c r="O1986" s="1">
        <v>456.42</v>
      </c>
      <c r="P1986" s="1">
        <v>0</v>
      </c>
    </row>
    <row r="1987" spans="1:16">
      <c r="A1987" s="1" t="str">
        <f t="shared" ref="A1987:A1991" si="625">"20210910"</f>
        <v>20210910</v>
      </c>
      <c r="B1987" s="1" t="str">
        <f>"002183"</f>
        <v>002183</v>
      </c>
      <c r="C1987" s="1" t="str">
        <f>"怡 亚 通"</f>
        <v>怡 亚 通</v>
      </c>
      <c r="D1987" s="1" t="str">
        <f>"担保品卖出"</f>
        <v>担保品卖出</v>
      </c>
      <c r="E1987" s="1">
        <v>7.47</v>
      </c>
      <c r="F1987" s="1">
        <v>2500</v>
      </c>
      <c r="G1987" s="1">
        <v>18675</v>
      </c>
      <c r="H1987" s="1">
        <v>5</v>
      </c>
      <c r="I1987" s="1">
        <v>3.35</v>
      </c>
      <c r="J1987" s="1">
        <v>18.68</v>
      </c>
      <c r="K1987" s="1">
        <v>0</v>
      </c>
      <c r="L1987" s="1">
        <v>0</v>
      </c>
      <c r="M1987" s="1">
        <v>0</v>
      </c>
      <c r="N1987" s="1">
        <v>18651.32</v>
      </c>
      <c r="O1987" s="1">
        <v>19107.74</v>
      </c>
      <c r="P1987" s="1">
        <v>10000</v>
      </c>
    </row>
    <row r="1988" spans="1:16">
      <c r="A1988" s="1" t="str">
        <f t="shared" si="625"/>
        <v>20210910</v>
      </c>
      <c r="B1988" s="1"/>
      <c r="C1988" s="1"/>
      <c r="D1988" s="1" t="str">
        <f>"偿还融资利息"</f>
        <v>偿还融资利息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-8.04</v>
      </c>
      <c r="O1988" s="1">
        <v>19099.7</v>
      </c>
      <c r="P1988" s="1">
        <v>0</v>
      </c>
    </row>
    <row r="1989" spans="1:16">
      <c r="A1989" s="1" t="str">
        <f t="shared" si="625"/>
        <v>20210910</v>
      </c>
      <c r="B1989" s="1"/>
      <c r="C1989" s="1"/>
      <c r="D1989" s="1" t="str">
        <f>"偿还融资负债本金"</f>
        <v>偿还融资负债本金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-17346.9</v>
      </c>
      <c r="O1989" s="1">
        <v>1752.8</v>
      </c>
      <c r="P1989" s="1">
        <v>0</v>
      </c>
    </row>
    <row r="1990" spans="1:16">
      <c r="A1990" s="1" t="str">
        <f t="shared" si="625"/>
        <v>20210910</v>
      </c>
      <c r="B1990" s="1"/>
      <c r="C1990" s="1"/>
      <c r="D1990" s="1" t="str">
        <f>"偿还融资利息"</f>
        <v>偿还融资利息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-866.52</v>
      </c>
      <c r="O1990" s="1">
        <v>886.28</v>
      </c>
      <c r="P1990" s="1">
        <v>0</v>
      </c>
    </row>
    <row r="1991" spans="1:16">
      <c r="A1991" s="1" t="str">
        <f t="shared" si="625"/>
        <v>20210910</v>
      </c>
      <c r="B1991" s="1"/>
      <c r="C1991" s="1"/>
      <c r="D1991" s="1" t="str">
        <f>"偿还融资负债本金"</f>
        <v>偿还融资负债本金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-378.54</v>
      </c>
      <c r="O1991" s="1">
        <v>507.74</v>
      </c>
      <c r="P1991" s="1">
        <v>0</v>
      </c>
    </row>
    <row r="1992" spans="1:16">
      <c r="A1992" s="1" t="str">
        <f>"20210914"</f>
        <v>20210914</v>
      </c>
      <c r="B1992" s="1" t="str">
        <f>"000543"</f>
        <v>000543</v>
      </c>
      <c r="C1992" s="1" t="str">
        <f>"皖能电力"</f>
        <v>皖能电力</v>
      </c>
      <c r="D1992" s="1" t="str">
        <f>"融资买入"</f>
        <v>融资买入</v>
      </c>
      <c r="E1992" s="1">
        <v>4.14</v>
      </c>
      <c r="F1992" s="1">
        <v>3000</v>
      </c>
      <c r="G1992" s="1">
        <v>12420</v>
      </c>
      <c r="H1992" s="1">
        <v>5</v>
      </c>
      <c r="I1992" s="1">
        <v>3.9</v>
      </c>
      <c r="J1992" s="1">
        <v>0</v>
      </c>
      <c r="K1992" s="1">
        <v>0</v>
      </c>
      <c r="L1992" s="1">
        <v>0</v>
      </c>
      <c r="M1992" s="1">
        <v>0</v>
      </c>
      <c r="N1992" s="1">
        <v>-12425</v>
      </c>
      <c r="O1992" s="1">
        <v>-11917.26</v>
      </c>
      <c r="P1992" s="1">
        <v>36000</v>
      </c>
    </row>
    <row r="1993" spans="1:16">
      <c r="A1993" s="1" t="str">
        <f>"20210914"</f>
        <v>20210914</v>
      </c>
      <c r="B1993" s="1"/>
      <c r="C1993" s="1"/>
      <c r="D1993" s="1" t="str">
        <f>"融资借入"</f>
        <v>融资借入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12425</v>
      </c>
      <c r="O1993" s="1">
        <v>507.74</v>
      </c>
      <c r="P1993" s="1">
        <v>0</v>
      </c>
    </row>
    <row r="1994" spans="1:16">
      <c r="A1994" s="1" t="str">
        <f t="shared" ref="A1994:A1996" si="626">"20210916"</f>
        <v>20210916</v>
      </c>
      <c r="B1994" s="1" t="str">
        <f>"600028"</f>
        <v>600028</v>
      </c>
      <c r="C1994" s="1" t="str">
        <f>"中国石化"</f>
        <v>中国石化</v>
      </c>
      <c r="D1994" s="1" t="str">
        <f>"红利入账"</f>
        <v>红利入账</v>
      </c>
      <c r="E1994" s="1">
        <v>0</v>
      </c>
      <c r="F1994" s="1">
        <v>10700</v>
      </c>
      <c r="G1994" s="1">
        <v>1712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1712</v>
      </c>
      <c r="O1994" s="1">
        <v>2219.74</v>
      </c>
      <c r="P1994" s="1">
        <v>0</v>
      </c>
    </row>
    <row r="1995" spans="1:16">
      <c r="A1995" s="1" t="str">
        <f t="shared" si="626"/>
        <v>20210916</v>
      </c>
      <c r="B1995" s="1" t="str">
        <f>"600066"</f>
        <v>600066</v>
      </c>
      <c r="C1995" s="1" t="str">
        <f>"宇通客车"</f>
        <v>宇通客车</v>
      </c>
      <c r="D1995" s="1" t="str">
        <f>"融资买入"</f>
        <v>融资买入</v>
      </c>
      <c r="E1995" s="1">
        <v>11.33</v>
      </c>
      <c r="F1995" s="1">
        <v>1000</v>
      </c>
      <c r="G1995" s="1">
        <v>11330</v>
      </c>
      <c r="H1995" s="1">
        <v>5</v>
      </c>
      <c r="I1995" s="1">
        <v>4.22</v>
      </c>
      <c r="J1995" s="1">
        <v>0</v>
      </c>
      <c r="K1995" s="1">
        <v>0.23</v>
      </c>
      <c r="L1995" s="1">
        <v>0</v>
      </c>
      <c r="M1995" s="1">
        <v>0</v>
      </c>
      <c r="N1995" s="1">
        <v>-11335.23</v>
      </c>
      <c r="O1995" s="1">
        <v>-9115.49</v>
      </c>
      <c r="P1995" s="1">
        <v>1000</v>
      </c>
    </row>
    <row r="1996" spans="1:16">
      <c r="A1996" s="1" t="str">
        <f t="shared" si="626"/>
        <v>20210916</v>
      </c>
      <c r="B1996" s="1"/>
      <c r="C1996" s="1"/>
      <c r="D1996" s="1" t="str">
        <f>"融资借入"</f>
        <v>融资借入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11335.23</v>
      </c>
      <c r="O1996" s="1">
        <v>2219.74</v>
      </c>
      <c r="P1996" s="1">
        <v>0</v>
      </c>
    </row>
    <row r="1997" spans="1:16">
      <c r="A1997" s="1" t="str">
        <f t="shared" ref="A1997:A2001" si="627">"20210917"</f>
        <v>20210917</v>
      </c>
      <c r="B1997" s="1"/>
      <c r="C1997" s="1"/>
      <c r="D1997" s="1" t="str">
        <f>"利息归本"</f>
        <v>利息归本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4.14</v>
      </c>
      <c r="O1997" s="1">
        <v>2223.88</v>
      </c>
      <c r="P1997" s="1">
        <v>0</v>
      </c>
    </row>
    <row r="1998" spans="1:16">
      <c r="A1998" s="1" t="str">
        <f t="shared" si="627"/>
        <v>20210917</v>
      </c>
      <c r="B1998" s="1"/>
      <c r="C1998" s="1"/>
      <c r="D1998" s="1" t="str">
        <f>"偿还融资利息"</f>
        <v>偿还融资利息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-25.19</v>
      </c>
      <c r="O1998" s="1">
        <v>2198.69</v>
      </c>
      <c r="P1998" s="1">
        <v>0</v>
      </c>
    </row>
    <row r="1999" spans="1:16">
      <c r="A1999" s="1" t="str">
        <f t="shared" si="627"/>
        <v>20210917</v>
      </c>
      <c r="B1999" s="1"/>
      <c r="C1999" s="1"/>
      <c r="D1999" s="1" t="str">
        <f>"偿还融资负债本金"</f>
        <v>偿还融资负债本金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-1774.81</v>
      </c>
      <c r="O1999" s="1">
        <v>423.88</v>
      </c>
      <c r="P1999" s="1">
        <v>0</v>
      </c>
    </row>
    <row r="2000" spans="1:16">
      <c r="A2000" s="1" t="str">
        <f t="shared" si="627"/>
        <v>20210917</v>
      </c>
      <c r="B2000" s="1"/>
      <c r="C2000" s="1"/>
      <c r="D2000" s="1" t="str">
        <f>"偿还融资利息"</f>
        <v>偿还融资利息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-3.19</v>
      </c>
      <c r="O2000" s="1">
        <v>420.69</v>
      </c>
      <c r="P2000" s="1">
        <v>0</v>
      </c>
    </row>
    <row r="2001" spans="1:16">
      <c r="A2001" s="1" t="str">
        <f t="shared" si="627"/>
        <v>20210917</v>
      </c>
      <c r="B2001" s="1"/>
      <c r="C2001" s="1"/>
      <c r="D2001" s="1" t="str">
        <f>"偿还融券费用"</f>
        <v>偿还融券费用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-9.93</v>
      </c>
      <c r="O2001" s="1">
        <v>410.76</v>
      </c>
      <c r="P2001" s="1">
        <v>0</v>
      </c>
    </row>
    <row r="2002" spans="1:16">
      <c r="A2002" s="1" t="str">
        <f t="shared" ref="A2002:A2009" si="628">"20210922"</f>
        <v>20210922</v>
      </c>
      <c r="B2002" s="1" t="str">
        <f>"000543"</f>
        <v>000543</v>
      </c>
      <c r="C2002" s="1" t="str">
        <f>"皖能电力"</f>
        <v>皖能电力</v>
      </c>
      <c r="D2002" s="1" t="str">
        <f>"卖券还款"</f>
        <v>卖券还款</v>
      </c>
      <c r="E2002" s="1">
        <v>4.35</v>
      </c>
      <c r="F2002" s="1">
        <v>3000</v>
      </c>
      <c r="G2002" s="1">
        <v>13050</v>
      </c>
      <c r="H2002" s="1">
        <v>5</v>
      </c>
      <c r="I2002" s="1">
        <v>3.84</v>
      </c>
      <c r="J2002" s="1">
        <v>13.05</v>
      </c>
      <c r="K2002" s="1">
        <v>0</v>
      </c>
      <c r="L2002" s="1">
        <v>0</v>
      </c>
      <c r="M2002" s="1">
        <v>0</v>
      </c>
      <c r="N2002" s="1">
        <v>13031.95</v>
      </c>
      <c r="O2002" s="1">
        <v>13442.71</v>
      </c>
      <c r="P2002" s="1">
        <v>33000</v>
      </c>
    </row>
    <row r="2003" spans="1:16">
      <c r="A2003" s="1" t="str">
        <f t="shared" si="628"/>
        <v>20210922</v>
      </c>
      <c r="B2003" s="1" t="str">
        <f>"000543"</f>
        <v>000543</v>
      </c>
      <c r="C2003" s="1" t="str">
        <f>"皖能电力"</f>
        <v>皖能电力</v>
      </c>
      <c r="D2003" s="1" t="str">
        <f>"卖券还款"</f>
        <v>卖券还款</v>
      </c>
      <c r="E2003" s="1">
        <v>4.39</v>
      </c>
      <c r="F2003" s="1">
        <v>3000</v>
      </c>
      <c r="G2003" s="1">
        <v>13170</v>
      </c>
      <c r="H2003" s="1">
        <v>5</v>
      </c>
      <c r="I2003" s="1">
        <v>3.84</v>
      </c>
      <c r="J2003" s="1">
        <v>13.17</v>
      </c>
      <c r="K2003" s="1">
        <v>0</v>
      </c>
      <c r="L2003" s="1">
        <v>0</v>
      </c>
      <c r="M2003" s="1">
        <v>0</v>
      </c>
      <c r="N2003" s="1">
        <v>13151.83</v>
      </c>
      <c r="O2003" s="1">
        <v>26594.54</v>
      </c>
      <c r="P2003" s="1">
        <v>30000</v>
      </c>
    </row>
    <row r="2004" spans="1:16">
      <c r="A2004" s="1" t="str">
        <f t="shared" si="628"/>
        <v>20210922</v>
      </c>
      <c r="B2004" s="1"/>
      <c r="C2004" s="1"/>
      <c r="D2004" s="1" t="str">
        <f>"偿还融资利息"</f>
        <v>偿还融资利息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-12.74</v>
      </c>
      <c r="O2004" s="1">
        <v>26581.8</v>
      </c>
      <c r="P2004" s="1">
        <v>0</v>
      </c>
    </row>
    <row r="2005" spans="1:16">
      <c r="A2005" s="1" t="str">
        <f t="shared" si="628"/>
        <v>20210922</v>
      </c>
      <c r="B2005" s="1"/>
      <c r="C2005" s="1"/>
      <c r="D2005" s="1" t="str">
        <f t="shared" ref="D2005:D2009" si="629">"偿还融资负债本金"</f>
        <v>偿还融资负债本金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-12984.96</v>
      </c>
      <c r="O2005" s="1">
        <v>13596.84</v>
      </c>
      <c r="P2005" s="1">
        <v>0</v>
      </c>
    </row>
    <row r="2006" spans="1:16">
      <c r="A2006" s="1" t="str">
        <f t="shared" si="628"/>
        <v>20210922</v>
      </c>
      <c r="B2006" s="1"/>
      <c r="C2006" s="1"/>
      <c r="D2006" s="1" t="str">
        <f t="shared" si="629"/>
        <v>偿还融资负债本金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-749.63</v>
      </c>
      <c r="O2006" s="1">
        <v>12847.21</v>
      </c>
      <c r="P2006" s="1">
        <v>0</v>
      </c>
    </row>
    <row r="2007" spans="1:16">
      <c r="A2007" s="1" t="str">
        <f t="shared" si="628"/>
        <v>20210922</v>
      </c>
      <c r="B2007" s="1"/>
      <c r="C2007" s="1"/>
      <c r="D2007" s="1" t="str">
        <f>"偿还融券费用"</f>
        <v>偿还融券费用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-293.44</v>
      </c>
      <c r="O2007" s="1">
        <v>12553.77</v>
      </c>
      <c r="P2007" s="1">
        <v>0</v>
      </c>
    </row>
    <row r="2008" spans="1:16">
      <c r="A2008" s="1" t="str">
        <f t="shared" si="628"/>
        <v>20210922</v>
      </c>
      <c r="B2008" s="1"/>
      <c r="C2008" s="1"/>
      <c r="D2008" s="1" t="str">
        <f>"偿还融资利息"</f>
        <v>偿还融资利息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-389.12</v>
      </c>
      <c r="O2008" s="1">
        <v>12164.65</v>
      </c>
      <c r="P2008" s="1">
        <v>0</v>
      </c>
    </row>
    <row r="2009" spans="1:16">
      <c r="A2009" s="1" t="str">
        <f t="shared" si="628"/>
        <v>20210922</v>
      </c>
      <c r="B2009" s="1"/>
      <c r="C2009" s="1"/>
      <c r="D2009" s="1" t="str">
        <f t="shared" si="629"/>
        <v>偿还融资负债本金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-11685.13</v>
      </c>
      <c r="O2009" s="1">
        <v>479.52</v>
      </c>
      <c r="P2009" s="1">
        <v>0</v>
      </c>
    </row>
    <row r="2010" spans="1:16">
      <c r="A2010" s="1" t="str">
        <f>"20210923"</f>
        <v>20210923</v>
      </c>
      <c r="B2010" s="1" t="str">
        <f>"000543"</f>
        <v>000543</v>
      </c>
      <c r="C2010" s="1" t="str">
        <f>"皖能电力"</f>
        <v>皖能电力</v>
      </c>
      <c r="D2010" s="1" t="str">
        <f>"股息红利差异扣税"</f>
        <v>股息红利差异扣税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-45.6</v>
      </c>
      <c r="O2010" s="1">
        <v>433.92</v>
      </c>
      <c r="P2010" s="1">
        <v>0</v>
      </c>
    </row>
    <row r="2011" spans="1:16">
      <c r="A2011" s="1" t="str">
        <f t="shared" ref="A2011:A2016" si="630">"20210924"</f>
        <v>20210924</v>
      </c>
      <c r="B2011" s="1" t="str">
        <f>"600066"</f>
        <v>600066</v>
      </c>
      <c r="C2011" s="1" t="str">
        <f>"宇通客车"</f>
        <v>宇通客车</v>
      </c>
      <c r="D2011" s="1" t="str">
        <f>"卖券还款"</f>
        <v>卖券还款</v>
      </c>
      <c r="E2011" s="1">
        <v>11.38</v>
      </c>
      <c r="F2011" s="1">
        <v>1000</v>
      </c>
      <c r="G2011" s="1">
        <v>11380</v>
      </c>
      <c r="H2011" s="1">
        <v>5</v>
      </c>
      <c r="I2011" s="1">
        <v>4.22</v>
      </c>
      <c r="J2011" s="1">
        <v>11.38</v>
      </c>
      <c r="K2011" s="1">
        <v>0.23</v>
      </c>
      <c r="L2011" s="1">
        <v>0</v>
      </c>
      <c r="M2011" s="1">
        <v>0</v>
      </c>
      <c r="N2011" s="1">
        <v>11363.39</v>
      </c>
      <c r="O2011" s="1">
        <v>11797.31</v>
      </c>
      <c r="P2011" s="1">
        <v>0</v>
      </c>
    </row>
    <row r="2012" spans="1:16">
      <c r="A2012" s="1" t="str">
        <f t="shared" si="630"/>
        <v>20210924</v>
      </c>
      <c r="B2012" s="1"/>
      <c r="C2012" s="1"/>
      <c r="D2012" s="1" t="str">
        <f>"偿还融券费用"</f>
        <v>偿还融券费用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-2.73</v>
      </c>
      <c r="O2012" s="1">
        <v>11794.58</v>
      </c>
      <c r="P2012" s="1">
        <v>0</v>
      </c>
    </row>
    <row r="2013" spans="1:16">
      <c r="A2013" s="1" t="str">
        <f t="shared" si="630"/>
        <v>20210924</v>
      </c>
      <c r="B2013" s="1"/>
      <c r="C2013" s="1"/>
      <c r="D2013" s="1" t="str">
        <f>"偿还融资利息"</f>
        <v>偿还融资利息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-1.2</v>
      </c>
      <c r="O2013" s="1">
        <v>11793.38</v>
      </c>
      <c r="P2013" s="1">
        <v>0</v>
      </c>
    </row>
    <row r="2014" spans="1:16">
      <c r="A2014" s="1" t="str">
        <f t="shared" si="630"/>
        <v>20210924</v>
      </c>
      <c r="B2014" s="1"/>
      <c r="C2014" s="1"/>
      <c r="D2014" s="1" t="str">
        <f>"偿还融资负债本金"</f>
        <v>偿还融资负债本金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-2598.72</v>
      </c>
      <c r="O2014" s="1">
        <v>9194.66</v>
      </c>
      <c r="P2014" s="1">
        <v>0</v>
      </c>
    </row>
    <row r="2015" spans="1:16">
      <c r="A2015" s="1" t="str">
        <f t="shared" si="630"/>
        <v>20210924</v>
      </c>
      <c r="B2015" s="1"/>
      <c r="C2015" s="1"/>
      <c r="D2015" s="1" t="str">
        <f>"偿还融资利息"</f>
        <v>偿还融资利息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-1223.43</v>
      </c>
      <c r="O2015" s="1">
        <v>7971.23</v>
      </c>
      <c r="P2015" s="1">
        <v>0</v>
      </c>
    </row>
    <row r="2016" spans="1:16">
      <c r="A2016" s="1" t="str">
        <f t="shared" si="630"/>
        <v>20210924</v>
      </c>
      <c r="B2016" s="1"/>
      <c r="C2016" s="1"/>
      <c r="D2016" s="1" t="str">
        <f>"偿还融资负债本金"</f>
        <v>偿还融资负债本金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-7508.17</v>
      </c>
      <c r="O2016" s="1">
        <v>463.06</v>
      </c>
      <c r="P2016" s="1">
        <v>0</v>
      </c>
    </row>
    <row r="2017" spans="1:16">
      <c r="A2017" s="1" t="str">
        <f>"20210927"</f>
        <v>20210927</v>
      </c>
      <c r="B2017" s="1" t="str">
        <f>"000543"</f>
        <v>000543</v>
      </c>
      <c r="C2017" s="1" t="str">
        <f>"皖能电力"</f>
        <v>皖能电力</v>
      </c>
      <c r="D2017" s="1" t="str">
        <f>"融资买入"</f>
        <v>融资买入</v>
      </c>
      <c r="E2017" s="1">
        <v>4.13</v>
      </c>
      <c r="F2017" s="1">
        <v>3000</v>
      </c>
      <c r="G2017" s="1">
        <v>12390</v>
      </c>
      <c r="H2017" s="1">
        <v>5</v>
      </c>
      <c r="I2017" s="1">
        <v>3.9</v>
      </c>
      <c r="J2017" s="1">
        <v>0</v>
      </c>
      <c r="K2017" s="1">
        <v>0</v>
      </c>
      <c r="L2017" s="1">
        <v>0</v>
      </c>
      <c r="M2017" s="1">
        <v>0</v>
      </c>
      <c r="N2017" s="1">
        <v>-12395</v>
      </c>
      <c r="O2017" s="1">
        <v>-11931.94</v>
      </c>
      <c r="P2017" s="1">
        <v>33000</v>
      </c>
    </row>
    <row r="2018" spans="1:16">
      <c r="A2018" s="1" t="str">
        <f>"20210927"</f>
        <v>20210927</v>
      </c>
      <c r="B2018" s="1"/>
      <c r="C2018" s="1"/>
      <c r="D2018" s="1" t="str">
        <f>"融资借入"</f>
        <v>融资借入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12395</v>
      </c>
      <c r="O2018" s="1">
        <v>463.06</v>
      </c>
      <c r="P2018" s="1">
        <v>0</v>
      </c>
    </row>
    <row r="2019" spans="1:16">
      <c r="A2019" s="1" t="str">
        <f t="shared" ref="A2019:A2024" si="631">"20210928"</f>
        <v>20210928</v>
      </c>
      <c r="B2019" s="1" t="str">
        <f>"000543"</f>
        <v>000543</v>
      </c>
      <c r="C2019" s="1" t="str">
        <f>"皖能电力"</f>
        <v>皖能电力</v>
      </c>
      <c r="D2019" s="1" t="str">
        <f>"卖券还款"</f>
        <v>卖券还款</v>
      </c>
      <c r="E2019" s="1">
        <v>4.34</v>
      </c>
      <c r="F2019" s="1">
        <v>3000</v>
      </c>
      <c r="G2019" s="1">
        <v>13020</v>
      </c>
      <c r="H2019" s="1">
        <v>5</v>
      </c>
      <c r="I2019" s="1">
        <v>3.85</v>
      </c>
      <c r="J2019" s="1">
        <v>13.02</v>
      </c>
      <c r="K2019" s="1">
        <v>0</v>
      </c>
      <c r="L2019" s="1">
        <v>0</v>
      </c>
      <c r="M2019" s="1">
        <v>0</v>
      </c>
      <c r="N2019" s="1">
        <v>13001.98</v>
      </c>
      <c r="O2019" s="1">
        <v>13465.04</v>
      </c>
      <c r="P2019" s="1">
        <v>30000</v>
      </c>
    </row>
    <row r="2020" spans="1:16">
      <c r="A2020" s="1" t="str">
        <f t="shared" si="631"/>
        <v>20210928</v>
      </c>
      <c r="B2020" s="1"/>
      <c r="C2020" s="1"/>
      <c r="D2020" s="1" t="str">
        <f>"偿还融券费用"</f>
        <v>偿还融券费用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-5.49</v>
      </c>
      <c r="O2020" s="1">
        <v>13459.55</v>
      </c>
      <c r="P2020" s="1">
        <v>0</v>
      </c>
    </row>
    <row r="2021" spans="1:16">
      <c r="A2021" s="1" t="str">
        <f t="shared" si="631"/>
        <v>20210928</v>
      </c>
      <c r="B2021" s="1"/>
      <c r="C2021" s="1"/>
      <c r="D2021" s="1" t="str">
        <f>"偿还融资利息"</f>
        <v>偿还融资利息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-11.6</v>
      </c>
      <c r="O2021" s="1">
        <v>13447.95</v>
      </c>
      <c r="P2021" s="1">
        <v>0</v>
      </c>
    </row>
    <row r="2022" spans="1:16">
      <c r="A2022" s="1" t="str">
        <f t="shared" si="631"/>
        <v>20210928</v>
      </c>
      <c r="B2022" s="1"/>
      <c r="C2022" s="1"/>
      <c r="D2022" s="1" t="str">
        <f>"偿还融资负债本金"</f>
        <v>偿还融资负债本金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-12501.83</v>
      </c>
      <c r="O2022" s="1">
        <v>946.12</v>
      </c>
      <c r="P2022" s="1">
        <v>0</v>
      </c>
    </row>
    <row r="2023" spans="1:16">
      <c r="A2023" s="1" t="str">
        <f t="shared" si="631"/>
        <v>20210928</v>
      </c>
      <c r="B2023" s="1"/>
      <c r="C2023" s="1"/>
      <c r="D2023" s="1" t="str">
        <f>"偿还融资利息"</f>
        <v>偿还融资利息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-432.98</v>
      </c>
      <c r="O2023" s="1">
        <v>513.14</v>
      </c>
      <c r="P2023" s="1">
        <v>0</v>
      </c>
    </row>
    <row r="2024" spans="1:16">
      <c r="A2024" s="1" t="str">
        <f t="shared" si="631"/>
        <v>20210928</v>
      </c>
      <c r="B2024" s="1"/>
      <c r="C2024" s="1"/>
      <c r="D2024" s="1" t="str">
        <f>"偿还融资负债本金"</f>
        <v>偿还融资负债本金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-16.02</v>
      </c>
      <c r="O2024" s="1">
        <v>497.12</v>
      </c>
      <c r="P2024" s="1">
        <v>0</v>
      </c>
    </row>
    <row r="2025" spans="1:16">
      <c r="A2025" s="1" t="str">
        <f>"20210929"</f>
        <v>20210929</v>
      </c>
      <c r="B2025" s="1" t="str">
        <f t="shared" ref="B2025:B2028" si="632">"000543"</f>
        <v>000543</v>
      </c>
      <c r="C2025" s="1" t="str">
        <f t="shared" ref="C2025:C2028" si="633">"皖能电力"</f>
        <v>皖能电力</v>
      </c>
      <c r="D2025" s="1" t="str">
        <f>"股息红利差异扣税"</f>
        <v>股息红利差异扣税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-22.8</v>
      </c>
      <c r="O2025" s="1">
        <v>474.32</v>
      </c>
      <c r="P2025" s="1">
        <v>0</v>
      </c>
    </row>
    <row r="2026" spans="1:16">
      <c r="A2026" s="1" t="str">
        <f t="shared" ref="A2026:A2035" si="634">"20210930"</f>
        <v>20210930</v>
      </c>
      <c r="B2026" s="1" t="str">
        <f t="shared" si="632"/>
        <v>000543</v>
      </c>
      <c r="C2026" s="1" t="str">
        <f t="shared" si="633"/>
        <v>皖能电力</v>
      </c>
      <c r="D2026" s="1" t="str">
        <f>"卖券还款"</f>
        <v>卖券还款</v>
      </c>
      <c r="E2026" s="1">
        <v>4.56</v>
      </c>
      <c r="F2026" s="1">
        <v>3000</v>
      </c>
      <c r="G2026" s="1">
        <v>13680</v>
      </c>
      <c r="H2026" s="1">
        <v>5</v>
      </c>
      <c r="I2026" s="1">
        <v>3.79</v>
      </c>
      <c r="J2026" s="1">
        <v>13.68</v>
      </c>
      <c r="K2026" s="1">
        <v>0</v>
      </c>
      <c r="L2026" s="1">
        <v>0</v>
      </c>
      <c r="M2026" s="1">
        <v>0</v>
      </c>
      <c r="N2026" s="1">
        <v>13661.32</v>
      </c>
      <c r="O2026" s="1">
        <v>14135.64</v>
      </c>
      <c r="P2026" s="1">
        <v>27000</v>
      </c>
    </row>
    <row r="2027" spans="1:16">
      <c r="A2027" s="1" t="str">
        <f t="shared" si="634"/>
        <v>20210930</v>
      </c>
      <c r="B2027" s="1" t="str">
        <f t="shared" si="632"/>
        <v>000543</v>
      </c>
      <c r="C2027" s="1" t="str">
        <f t="shared" si="633"/>
        <v>皖能电力</v>
      </c>
      <c r="D2027" s="1" t="str">
        <f>"融资买入"</f>
        <v>融资买入</v>
      </c>
      <c r="E2027" s="1">
        <v>4.33</v>
      </c>
      <c r="F2027" s="1">
        <v>3000</v>
      </c>
      <c r="G2027" s="1">
        <v>12990</v>
      </c>
      <c r="H2027" s="1">
        <v>5</v>
      </c>
      <c r="I2027" s="1">
        <v>3.84</v>
      </c>
      <c r="J2027" s="1">
        <v>0</v>
      </c>
      <c r="K2027" s="1">
        <v>0</v>
      </c>
      <c r="L2027" s="1">
        <v>0</v>
      </c>
      <c r="M2027" s="1">
        <v>0</v>
      </c>
      <c r="N2027" s="1">
        <v>-12995</v>
      </c>
      <c r="O2027" s="1">
        <v>1140.64</v>
      </c>
      <c r="P2027" s="1">
        <v>30000</v>
      </c>
    </row>
    <row r="2028" spans="1:16">
      <c r="A2028" s="1" t="str">
        <f t="shared" si="634"/>
        <v>20210930</v>
      </c>
      <c r="B2028" s="1" t="str">
        <f t="shared" si="632"/>
        <v>000543</v>
      </c>
      <c r="C2028" s="1" t="str">
        <f t="shared" si="633"/>
        <v>皖能电力</v>
      </c>
      <c r="D2028" s="1" t="str">
        <f>"卖券还款"</f>
        <v>卖券还款</v>
      </c>
      <c r="E2028" s="1">
        <v>4.55</v>
      </c>
      <c r="F2028" s="1">
        <v>3000</v>
      </c>
      <c r="G2028" s="1">
        <v>13650</v>
      </c>
      <c r="H2028" s="1">
        <v>5</v>
      </c>
      <c r="I2028" s="1">
        <v>3.8</v>
      </c>
      <c r="J2028" s="1">
        <v>13.65</v>
      </c>
      <c r="K2028" s="1">
        <v>0</v>
      </c>
      <c r="L2028" s="1">
        <v>0</v>
      </c>
      <c r="M2028" s="1">
        <v>0</v>
      </c>
      <c r="N2028" s="1">
        <v>13631.35</v>
      </c>
      <c r="O2028" s="1">
        <v>14771.99</v>
      </c>
      <c r="P2028" s="1">
        <v>27000</v>
      </c>
    </row>
    <row r="2029" spans="1:16">
      <c r="A2029" s="1" t="str">
        <f t="shared" si="634"/>
        <v>20210930</v>
      </c>
      <c r="B2029" s="1"/>
      <c r="C2029" s="1"/>
      <c r="D2029" s="1" t="str">
        <f>"融资借入"</f>
        <v>融资借入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12995</v>
      </c>
      <c r="O2029" s="1">
        <v>27766.99</v>
      </c>
      <c r="P2029" s="1">
        <v>0</v>
      </c>
    </row>
    <row r="2030" spans="1:16">
      <c r="A2030" s="1" t="str">
        <f t="shared" si="634"/>
        <v>20210930</v>
      </c>
      <c r="B2030" s="1"/>
      <c r="C2030" s="1"/>
      <c r="D2030" s="1" t="str">
        <f>"偿还融券费用"</f>
        <v>偿还融券费用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-2.75</v>
      </c>
      <c r="O2030" s="1">
        <v>27764.24</v>
      </c>
      <c r="P2030" s="1">
        <v>0</v>
      </c>
    </row>
    <row r="2031" spans="1:16">
      <c r="A2031" s="1" t="str">
        <f t="shared" si="634"/>
        <v>20210930</v>
      </c>
      <c r="B2031" s="1"/>
      <c r="C2031" s="1"/>
      <c r="D2031" s="1" t="str">
        <f>"偿还融资利息"</f>
        <v>偿还融资利息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-8.54</v>
      </c>
      <c r="O2031" s="1">
        <v>27755.7</v>
      </c>
      <c r="P2031" s="1">
        <v>0</v>
      </c>
    </row>
    <row r="2032" spans="1:16">
      <c r="A2032" s="1" t="str">
        <f t="shared" si="634"/>
        <v>20210930</v>
      </c>
      <c r="B2032" s="1"/>
      <c r="C2032" s="1"/>
      <c r="D2032" s="1" t="str">
        <f t="shared" ref="D2032:D2035" si="635">"偿还融资负债本金"</f>
        <v>偿还融资负债本金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-13613.99</v>
      </c>
      <c r="O2032" s="1">
        <v>14141.71</v>
      </c>
      <c r="P2032" s="1">
        <v>0</v>
      </c>
    </row>
    <row r="2033" spans="1:16">
      <c r="A2033" s="1" t="str">
        <f t="shared" si="634"/>
        <v>20210930</v>
      </c>
      <c r="B2033" s="1"/>
      <c r="C2033" s="1"/>
      <c r="D2033" s="1" t="str">
        <f t="shared" si="635"/>
        <v>偿还融资负债本金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-4796.73</v>
      </c>
      <c r="O2033" s="1">
        <v>9344.98</v>
      </c>
      <c r="P2033" s="1">
        <v>0</v>
      </c>
    </row>
    <row r="2034" spans="1:16">
      <c r="A2034" s="1" t="str">
        <f t="shared" si="634"/>
        <v>20210930</v>
      </c>
      <c r="B2034" s="1"/>
      <c r="C2034" s="1"/>
      <c r="D2034" s="1" t="str">
        <f>"偿还融资利息"</f>
        <v>偿还融资利息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-1052.17</v>
      </c>
      <c r="O2034" s="1">
        <v>8292.81</v>
      </c>
      <c r="P2034" s="1">
        <v>0</v>
      </c>
    </row>
    <row r="2035" spans="1:16">
      <c r="A2035" s="1" t="str">
        <f t="shared" si="634"/>
        <v>20210930</v>
      </c>
      <c r="B2035" s="1"/>
      <c r="C2035" s="1"/>
      <c r="D2035" s="1" t="str">
        <f t="shared" si="635"/>
        <v>偿还融资负债本金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-7746.5</v>
      </c>
      <c r="O2035" s="1">
        <v>546.31</v>
      </c>
      <c r="P2035" s="1">
        <v>0</v>
      </c>
    </row>
    <row r="2036" spans="1:16">
      <c r="A2036" s="1" t="str">
        <f t="shared" ref="A2036:A2038" si="636">"20211008"</f>
        <v>20211008</v>
      </c>
      <c r="B2036" s="1" t="str">
        <f t="shared" ref="B2036:B2039" si="637">"000543"</f>
        <v>000543</v>
      </c>
      <c r="C2036" s="1" t="str">
        <f t="shared" ref="C2036:C2039" si="638">"皖能电力"</f>
        <v>皖能电力</v>
      </c>
      <c r="D2036" s="1" t="str">
        <f>"股息红利差异扣税"</f>
        <v>股息红利差异扣税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-22.8</v>
      </c>
      <c r="O2036" s="1">
        <v>523.51</v>
      </c>
      <c r="P2036" s="1">
        <v>0</v>
      </c>
    </row>
    <row r="2037" spans="1:16">
      <c r="A2037" s="1" t="str">
        <f t="shared" si="636"/>
        <v>20211008</v>
      </c>
      <c r="B2037" s="1" t="str">
        <f t="shared" si="637"/>
        <v>000543</v>
      </c>
      <c r="C2037" s="1" t="str">
        <f t="shared" si="638"/>
        <v>皖能电力</v>
      </c>
      <c r="D2037" s="1" t="str">
        <f>"融资买入"</f>
        <v>融资买入</v>
      </c>
      <c r="E2037" s="1">
        <v>4.32</v>
      </c>
      <c r="F2037" s="1">
        <v>3000</v>
      </c>
      <c r="G2037" s="1">
        <v>12960</v>
      </c>
      <c r="H2037" s="1">
        <v>5</v>
      </c>
      <c r="I2037" s="1">
        <v>3.85</v>
      </c>
      <c r="J2037" s="1">
        <v>0</v>
      </c>
      <c r="K2037" s="1">
        <v>0</v>
      </c>
      <c r="L2037" s="1">
        <v>0</v>
      </c>
      <c r="M2037" s="1">
        <v>0</v>
      </c>
      <c r="N2037" s="1">
        <v>-12965</v>
      </c>
      <c r="O2037" s="1">
        <v>-12441.49</v>
      </c>
      <c r="P2037" s="1">
        <v>30000</v>
      </c>
    </row>
    <row r="2038" spans="1:16">
      <c r="A2038" s="1" t="str">
        <f t="shared" si="636"/>
        <v>20211008</v>
      </c>
      <c r="B2038" s="1"/>
      <c r="C2038" s="1"/>
      <c r="D2038" s="1" t="str">
        <f>"融资借入"</f>
        <v>融资借入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12965</v>
      </c>
      <c r="O2038" s="1">
        <v>523.51</v>
      </c>
      <c r="P2038" s="1">
        <v>0</v>
      </c>
    </row>
    <row r="2039" spans="1:16">
      <c r="A2039" s="1" t="str">
        <f t="shared" ref="A2039:A2045" si="639">"20211011"</f>
        <v>20211011</v>
      </c>
      <c r="B2039" s="1" t="str">
        <f t="shared" si="637"/>
        <v>000543</v>
      </c>
      <c r="C2039" s="1" t="str">
        <f t="shared" si="638"/>
        <v>皖能电力</v>
      </c>
      <c r="D2039" s="1" t="str">
        <f>"卖券还款"</f>
        <v>卖券还款</v>
      </c>
      <c r="E2039" s="1">
        <v>4.69</v>
      </c>
      <c r="F2039" s="1">
        <v>3000</v>
      </c>
      <c r="G2039" s="1">
        <v>14070</v>
      </c>
      <c r="H2039" s="1">
        <v>5</v>
      </c>
      <c r="I2039" s="1">
        <v>3.75</v>
      </c>
      <c r="J2039" s="1">
        <v>14.07</v>
      </c>
      <c r="K2039" s="1">
        <v>0</v>
      </c>
      <c r="L2039" s="1">
        <v>0</v>
      </c>
      <c r="M2039" s="1">
        <v>0</v>
      </c>
      <c r="N2039" s="1">
        <v>14050.93</v>
      </c>
      <c r="O2039" s="1">
        <v>14574.44</v>
      </c>
      <c r="P2039" s="1">
        <v>27000</v>
      </c>
    </row>
    <row r="2040" spans="1:16">
      <c r="A2040" s="1" t="str">
        <f t="shared" si="639"/>
        <v>20211011</v>
      </c>
      <c r="B2040" s="1"/>
      <c r="C2040" s="1"/>
      <c r="D2040" s="1" t="str">
        <f t="shared" ref="D2040:D2045" si="640">"偿还融资负债本金"</f>
        <v>偿还融资负债本金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-100</v>
      </c>
      <c r="O2040" s="1">
        <v>14474.44</v>
      </c>
      <c r="P2040" s="1">
        <v>0</v>
      </c>
    </row>
    <row r="2041" spans="1:16">
      <c r="A2041" s="1" t="str">
        <f t="shared" si="639"/>
        <v>20211011</v>
      </c>
      <c r="B2041" s="1"/>
      <c r="C2041" s="1"/>
      <c r="D2041" s="1" t="str">
        <f>"偿还融券费用"</f>
        <v>偿还融券费用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-15.17</v>
      </c>
      <c r="O2041" s="1">
        <v>14459.27</v>
      </c>
      <c r="P2041" s="1">
        <v>0</v>
      </c>
    </row>
    <row r="2042" spans="1:16">
      <c r="A2042" s="1" t="str">
        <f t="shared" si="639"/>
        <v>20211011</v>
      </c>
      <c r="B2042" s="1"/>
      <c r="C2042" s="1"/>
      <c r="D2042" s="1" t="str">
        <f>"偿还融资利息"</f>
        <v>偿还融资利息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-27.84</v>
      </c>
      <c r="O2042" s="1">
        <v>14431.43</v>
      </c>
      <c r="P2042" s="1">
        <v>0</v>
      </c>
    </row>
    <row r="2043" spans="1:16">
      <c r="A2043" s="1" t="str">
        <f t="shared" si="639"/>
        <v>20211011</v>
      </c>
      <c r="B2043" s="1"/>
      <c r="C2043" s="1"/>
      <c r="D2043" s="1" t="str">
        <f t="shared" si="640"/>
        <v>偿还融资负债本金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-10912.83</v>
      </c>
      <c r="O2043" s="1">
        <v>3518.6</v>
      </c>
      <c r="P2043" s="1">
        <v>0</v>
      </c>
    </row>
    <row r="2044" spans="1:16">
      <c r="A2044" s="1" t="str">
        <f t="shared" si="639"/>
        <v>20211011</v>
      </c>
      <c r="B2044" s="1"/>
      <c r="C2044" s="1"/>
      <c r="D2044" s="1" t="str">
        <f>"偿还融资利息"</f>
        <v>偿还融资利息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-77.78</v>
      </c>
      <c r="O2044" s="1">
        <v>3440.82</v>
      </c>
      <c r="P2044" s="1">
        <v>0</v>
      </c>
    </row>
    <row r="2045" spans="1:16">
      <c r="A2045" s="1" t="str">
        <f t="shared" si="639"/>
        <v>20211011</v>
      </c>
      <c r="B2045" s="1"/>
      <c r="C2045" s="1"/>
      <c r="D2045" s="1" t="str">
        <f t="shared" si="640"/>
        <v>偿还融资负债本金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-2980.1</v>
      </c>
      <c r="O2045" s="1">
        <v>460.72</v>
      </c>
      <c r="P2045" s="1">
        <v>0</v>
      </c>
    </row>
    <row r="2046" spans="1:16">
      <c r="A2046" s="1" t="str">
        <f t="shared" ref="A2046:A2050" si="641">"20211012"</f>
        <v>20211012</v>
      </c>
      <c r="B2046" s="1" t="str">
        <f t="shared" ref="B2046:B2048" si="642">"000543"</f>
        <v>000543</v>
      </c>
      <c r="C2046" s="1" t="str">
        <f t="shared" ref="C2046:C2048" si="643">"皖能电力"</f>
        <v>皖能电力</v>
      </c>
      <c r="D2046" s="1" t="str">
        <f>"股息红利差异扣税"</f>
        <v>股息红利差异扣税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-22.8</v>
      </c>
      <c r="O2046" s="1">
        <v>437.92</v>
      </c>
      <c r="P2046" s="1">
        <v>0</v>
      </c>
    </row>
    <row r="2047" spans="1:16">
      <c r="A2047" s="1" t="str">
        <f t="shared" si="641"/>
        <v>20211012</v>
      </c>
      <c r="B2047" s="1" t="str">
        <f t="shared" si="642"/>
        <v>000543</v>
      </c>
      <c r="C2047" s="1" t="str">
        <f t="shared" si="643"/>
        <v>皖能电力</v>
      </c>
      <c r="D2047" s="1" t="str">
        <f t="shared" ref="D2047:D2051" si="644">"融资买入"</f>
        <v>融资买入</v>
      </c>
      <c r="E2047" s="1">
        <v>4.4</v>
      </c>
      <c r="F2047" s="1">
        <v>3000</v>
      </c>
      <c r="G2047" s="1">
        <v>13200</v>
      </c>
      <c r="H2047" s="1">
        <v>5</v>
      </c>
      <c r="I2047" s="1">
        <v>3.84</v>
      </c>
      <c r="J2047" s="1">
        <v>0</v>
      </c>
      <c r="K2047" s="1">
        <v>0</v>
      </c>
      <c r="L2047" s="1">
        <v>0</v>
      </c>
      <c r="M2047" s="1">
        <v>0</v>
      </c>
      <c r="N2047" s="1">
        <v>-13205</v>
      </c>
      <c r="O2047" s="1">
        <v>-12767.08</v>
      </c>
      <c r="P2047" s="1">
        <v>30000</v>
      </c>
    </row>
    <row r="2048" spans="1:16">
      <c r="A2048" s="1" t="str">
        <f t="shared" si="641"/>
        <v>20211012</v>
      </c>
      <c r="B2048" s="1" t="str">
        <f t="shared" si="642"/>
        <v>000543</v>
      </c>
      <c r="C2048" s="1" t="str">
        <f t="shared" si="643"/>
        <v>皖能电力</v>
      </c>
      <c r="D2048" s="1" t="str">
        <f t="shared" si="644"/>
        <v>融资买入</v>
      </c>
      <c r="E2048" s="1">
        <v>4.29</v>
      </c>
      <c r="F2048" s="1">
        <v>3000</v>
      </c>
      <c r="G2048" s="1">
        <v>12870</v>
      </c>
      <c r="H2048" s="1">
        <v>5</v>
      </c>
      <c r="I2048" s="1">
        <v>3.85</v>
      </c>
      <c r="J2048" s="1">
        <v>0</v>
      </c>
      <c r="K2048" s="1">
        <v>0</v>
      </c>
      <c r="L2048" s="1">
        <v>0</v>
      </c>
      <c r="M2048" s="1">
        <v>0</v>
      </c>
      <c r="N2048" s="1">
        <v>-12875</v>
      </c>
      <c r="O2048" s="1">
        <v>-25642.08</v>
      </c>
      <c r="P2048" s="1">
        <v>33000</v>
      </c>
    </row>
    <row r="2049" spans="1:16">
      <c r="A2049" s="1" t="str">
        <f t="shared" si="641"/>
        <v>20211012</v>
      </c>
      <c r="B2049" s="1"/>
      <c r="C2049" s="1"/>
      <c r="D2049" s="1" t="str">
        <f t="shared" ref="D2049:D2052" si="645">"融资借入"</f>
        <v>融资借入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13205</v>
      </c>
      <c r="O2049" s="1">
        <v>-12437.08</v>
      </c>
      <c r="P2049" s="1">
        <v>0</v>
      </c>
    </row>
    <row r="2050" spans="1:16">
      <c r="A2050" s="1" t="str">
        <f t="shared" si="641"/>
        <v>20211012</v>
      </c>
      <c r="B2050" s="1"/>
      <c r="C2050" s="1"/>
      <c r="D2050" s="1" t="str">
        <f t="shared" si="645"/>
        <v>融资借入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12875</v>
      </c>
      <c r="O2050" s="1">
        <v>437.92</v>
      </c>
      <c r="P2050" s="1">
        <v>0</v>
      </c>
    </row>
    <row r="2051" spans="1:16">
      <c r="A2051" s="1" t="str">
        <f>"20211013"</f>
        <v>20211013</v>
      </c>
      <c r="B2051" s="1" t="str">
        <f t="shared" ref="B2051:B2055" si="646">"000543"</f>
        <v>000543</v>
      </c>
      <c r="C2051" s="1" t="str">
        <f t="shared" ref="C2051:C2055" si="647">"皖能电力"</f>
        <v>皖能电力</v>
      </c>
      <c r="D2051" s="1" t="str">
        <f t="shared" si="644"/>
        <v>融资买入</v>
      </c>
      <c r="E2051" s="1">
        <v>4.09</v>
      </c>
      <c r="F2051" s="1">
        <v>3000</v>
      </c>
      <c r="G2051" s="1">
        <v>12270</v>
      </c>
      <c r="H2051" s="1">
        <v>5</v>
      </c>
      <c r="I2051" s="1">
        <v>3.91</v>
      </c>
      <c r="J2051" s="1">
        <v>0</v>
      </c>
      <c r="K2051" s="1">
        <v>0</v>
      </c>
      <c r="L2051" s="1">
        <v>0</v>
      </c>
      <c r="M2051" s="1">
        <v>0</v>
      </c>
      <c r="N2051" s="1">
        <v>-12275</v>
      </c>
      <c r="O2051" s="1">
        <v>-11837.08</v>
      </c>
      <c r="P2051" s="1">
        <v>36000</v>
      </c>
    </row>
    <row r="2052" spans="1:16">
      <c r="A2052" s="1" t="str">
        <f>"20211013"</f>
        <v>20211013</v>
      </c>
      <c r="B2052" s="1"/>
      <c r="C2052" s="1"/>
      <c r="D2052" s="1" t="str">
        <f t="shared" si="645"/>
        <v>融资借入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12275</v>
      </c>
      <c r="O2052" s="1">
        <v>437.92</v>
      </c>
      <c r="P2052" s="1">
        <v>0</v>
      </c>
    </row>
    <row r="2053" spans="1:16">
      <c r="A2053" s="1" t="str">
        <f>"20211015"</f>
        <v>20211015</v>
      </c>
      <c r="B2053" s="1" t="str">
        <f t="shared" si="646"/>
        <v>000543</v>
      </c>
      <c r="C2053" s="1" t="str">
        <f t="shared" si="647"/>
        <v>皖能电力</v>
      </c>
      <c r="D2053" s="1" t="str">
        <f>"融资买入"</f>
        <v>融资买入</v>
      </c>
      <c r="E2053" s="1">
        <v>3.81</v>
      </c>
      <c r="F2053" s="1">
        <v>3000</v>
      </c>
      <c r="G2053" s="1">
        <v>11430</v>
      </c>
      <c r="H2053" s="1">
        <v>5</v>
      </c>
      <c r="I2053" s="1">
        <v>3.98</v>
      </c>
      <c r="J2053" s="1">
        <v>0</v>
      </c>
      <c r="K2053" s="1">
        <v>0</v>
      </c>
      <c r="L2053" s="1">
        <v>0</v>
      </c>
      <c r="M2053" s="1">
        <v>0</v>
      </c>
      <c r="N2053" s="1">
        <v>-11435</v>
      </c>
      <c r="O2053" s="1">
        <v>-10997.08</v>
      </c>
      <c r="P2053" s="1">
        <v>39000</v>
      </c>
    </row>
    <row r="2054" spans="1:16">
      <c r="A2054" s="1" t="str">
        <f>"20211015"</f>
        <v>20211015</v>
      </c>
      <c r="B2054" s="1"/>
      <c r="C2054" s="1"/>
      <c r="D2054" s="1" t="str">
        <f>"融资借入"</f>
        <v>融资借入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11435</v>
      </c>
      <c r="O2054" s="1">
        <v>437.92</v>
      </c>
      <c r="P2054" s="1">
        <v>0</v>
      </c>
    </row>
    <row r="2055" spans="1:16">
      <c r="A2055" s="1" t="str">
        <f t="shared" ref="A2055:A2063" si="648">"20211020"</f>
        <v>20211020</v>
      </c>
      <c r="B2055" s="1" t="str">
        <f t="shared" si="646"/>
        <v>000543</v>
      </c>
      <c r="C2055" s="1" t="str">
        <f t="shared" si="647"/>
        <v>皖能电力</v>
      </c>
      <c r="D2055" s="1" t="str">
        <f>"卖券还款"</f>
        <v>卖券还款</v>
      </c>
      <c r="E2055" s="1">
        <v>4</v>
      </c>
      <c r="F2055" s="1">
        <v>3000</v>
      </c>
      <c r="G2055" s="1">
        <v>12000</v>
      </c>
      <c r="H2055" s="1">
        <v>5</v>
      </c>
      <c r="I2055" s="1">
        <v>3.94</v>
      </c>
      <c r="J2055" s="1">
        <v>12</v>
      </c>
      <c r="K2055" s="1">
        <v>0</v>
      </c>
      <c r="L2055" s="1">
        <v>0</v>
      </c>
      <c r="M2055" s="1">
        <v>0</v>
      </c>
      <c r="N2055" s="1">
        <v>11983</v>
      </c>
      <c r="O2055" s="1">
        <v>12420.92</v>
      </c>
      <c r="P2055" s="1">
        <v>36000</v>
      </c>
    </row>
    <row r="2056" spans="1:16">
      <c r="A2056" s="1" t="str">
        <f t="shared" si="648"/>
        <v>20211020</v>
      </c>
      <c r="B2056" s="1"/>
      <c r="C2056" s="1"/>
      <c r="D2056" s="1" t="str">
        <f>"偿还融券费用"</f>
        <v>偿还融券费用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-12.5</v>
      </c>
      <c r="O2056" s="1">
        <v>12408.42</v>
      </c>
      <c r="P2056" s="1">
        <v>0</v>
      </c>
    </row>
    <row r="2057" spans="1:16">
      <c r="A2057" s="1" t="str">
        <f t="shared" si="648"/>
        <v>20211020</v>
      </c>
      <c r="B2057" s="1"/>
      <c r="C2057" s="1"/>
      <c r="D2057" s="1" t="str">
        <f t="shared" ref="D2057:D2063" si="649">"偿还融资利息"</f>
        <v>偿还融资利息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-19.52</v>
      </c>
      <c r="O2057" s="1">
        <v>12388.9</v>
      </c>
      <c r="P2057" s="1">
        <v>0</v>
      </c>
    </row>
    <row r="2058" spans="1:16">
      <c r="A2058" s="1" t="str">
        <f t="shared" si="648"/>
        <v>20211020</v>
      </c>
      <c r="B2058" s="1"/>
      <c r="C2058" s="1"/>
      <c r="D2058" s="1" t="str">
        <f>"偿还融资负债本金"</f>
        <v>偿还融资负债本金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-9344.9</v>
      </c>
      <c r="O2058" s="1">
        <v>3044</v>
      </c>
      <c r="P2058" s="1">
        <v>0</v>
      </c>
    </row>
    <row r="2059" spans="1:16">
      <c r="A2059" s="1" t="str">
        <f t="shared" si="648"/>
        <v>20211020</v>
      </c>
      <c r="B2059" s="1"/>
      <c r="C2059" s="1"/>
      <c r="D2059" s="1" t="str">
        <f t="shared" si="649"/>
        <v>偿还融资利息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-89.41</v>
      </c>
      <c r="O2059" s="1">
        <v>2954.59</v>
      </c>
      <c r="P2059" s="1">
        <v>0</v>
      </c>
    </row>
    <row r="2060" spans="1:16">
      <c r="A2060" s="1" t="str">
        <f t="shared" si="648"/>
        <v>20211020</v>
      </c>
      <c r="B2060" s="1"/>
      <c r="C2060" s="1"/>
      <c r="D2060" s="1" t="str">
        <f>"偿还融资负债本金"</f>
        <v>偿还融资负债本金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-2485.67</v>
      </c>
      <c r="O2060" s="1">
        <v>468.92</v>
      </c>
      <c r="P2060" s="1">
        <v>0</v>
      </c>
    </row>
    <row r="2061" spans="1:16">
      <c r="A2061" s="1" t="str">
        <f t="shared" si="648"/>
        <v>20211020</v>
      </c>
      <c r="B2061" s="1"/>
      <c r="C2061" s="1"/>
      <c r="D2061" s="1" t="str">
        <f>"偿还融券费用"</f>
        <v>偿还融券费用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-1.39</v>
      </c>
      <c r="O2061" s="1">
        <v>467.53</v>
      </c>
      <c r="P2061" s="1">
        <v>0</v>
      </c>
    </row>
    <row r="2062" spans="1:16">
      <c r="A2062" s="1" t="str">
        <f t="shared" si="648"/>
        <v>20211020</v>
      </c>
      <c r="B2062" s="1"/>
      <c r="C2062" s="1"/>
      <c r="D2062" s="1" t="str">
        <f t="shared" si="649"/>
        <v>偿还融资利息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-2.05</v>
      </c>
      <c r="O2062" s="1">
        <v>465.48</v>
      </c>
      <c r="P2062" s="1">
        <v>0</v>
      </c>
    </row>
    <row r="2063" spans="1:16">
      <c r="A2063" s="1" t="str">
        <f t="shared" si="648"/>
        <v>20211020</v>
      </c>
      <c r="B2063" s="1"/>
      <c r="C2063" s="1"/>
      <c r="D2063" s="1" t="str">
        <f t="shared" si="649"/>
        <v>偿还融资利息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-54.72</v>
      </c>
      <c r="O2063" s="1">
        <v>410.76</v>
      </c>
      <c r="P2063" s="1">
        <v>0</v>
      </c>
    </row>
    <row r="2064" spans="1:16">
      <c r="A2064" s="1" t="str">
        <f t="shared" ref="A2064:A2073" si="650">"20211028"</f>
        <v>20211028</v>
      </c>
      <c r="B2064" s="1" t="str">
        <f>"000543"</f>
        <v>000543</v>
      </c>
      <c r="C2064" s="1" t="str">
        <f>"皖能电力"</f>
        <v>皖能电力</v>
      </c>
      <c r="D2064" s="1" t="str">
        <f>"卖券还款"</f>
        <v>卖券还款</v>
      </c>
      <c r="E2064" s="1">
        <v>4.2</v>
      </c>
      <c r="F2064" s="1">
        <v>3000</v>
      </c>
      <c r="G2064" s="1">
        <v>12600</v>
      </c>
      <c r="H2064" s="1">
        <v>5</v>
      </c>
      <c r="I2064" s="1">
        <v>3.89</v>
      </c>
      <c r="J2064" s="1">
        <v>12.6</v>
      </c>
      <c r="K2064" s="1">
        <v>0</v>
      </c>
      <c r="L2064" s="1">
        <v>0</v>
      </c>
      <c r="M2064" s="1">
        <v>0</v>
      </c>
      <c r="N2064" s="1">
        <v>12582.4</v>
      </c>
      <c r="O2064" s="1">
        <v>12993.16</v>
      </c>
      <c r="P2064" s="1">
        <v>33000</v>
      </c>
    </row>
    <row r="2065" spans="1:16">
      <c r="A2065" s="1" t="str">
        <f t="shared" si="650"/>
        <v>20211028</v>
      </c>
      <c r="B2065" s="1" t="str">
        <f>"000543"</f>
        <v>000543</v>
      </c>
      <c r="C2065" s="1" t="str">
        <f>"皖能电力"</f>
        <v>皖能电力</v>
      </c>
      <c r="D2065" s="1" t="str">
        <f>"卖券还款"</f>
        <v>卖券还款</v>
      </c>
      <c r="E2065" s="1">
        <v>4.41</v>
      </c>
      <c r="F2065" s="1">
        <v>3000</v>
      </c>
      <c r="G2065" s="1">
        <v>13230</v>
      </c>
      <c r="H2065" s="1">
        <v>5</v>
      </c>
      <c r="I2065" s="1">
        <v>3.84</v>
      </c>
      <c r="J2065" s="1">
        <v>13.23</v>
      </c>
      <c r="K2065" s="1">
        <v>0</v>
      </c>
      <c r="L2065" s="1">
        <v>0</v>
      </c>
      <c r="M2065" s="1">
        <v>0</v>
      </c>
      <c r="N2065" s="1">
        <v>13211.77</v>
      </c>
      <c r="O2065" s="1">
        <v>26204.93</v>
      </c>
      <c r="P2065" s="1">
        <v>30000</v>
      </c>
    </row>
    <row r="2066" spans="1:16">
      <c r="A2066" s="1" t="str">
        <f t="shared" si="650"/>
        <v>20211028</v>
      </c>
      <c r="B2066" s="1"/>
      <c r="C2066" s="1"/>
      <c r="D2066" s="1" t="str">
        <f>"偿还融券费用"</f>
        <v>偿还融券费用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-9.78</v>
      </c>
      <c r="O2066" s="1">
        <v>26195.15</v>
      </c>
      <c r="P2066" s="1">
        <v>0</v>
      </c>
    </row>
    <row r="2067" spans="1:16">
      <c r="A2067" s="1" t="str">
        <f t="shared" si="650"/>
        <v>20211028</v>
      </c>
      <c r="B2067" s="1"/>
      <c r="C2067" s="1"/>
      <c r="D2067" s="1" t="str">
        <f t="shared" ref="D2067:D2072" si="651">"偿还融资利息"</f>
        <v>偿还融资利息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-14.36</v>
      </c>
      <c r="O2067" s="1">
        <v>26180.79</v>
      </c>
      <c r="P2067" s="1">
        <v>0</v>
      </c>
    </row>
    <row r="2068" spans="1:16">
      <c r="A2068" s="1" t="str">
        <f t="shared" si="650"/>
        <v>20211028</v>
      </c>
      <c r="B2068" s="1"/>
      <c r="C2068" s="1"/>
      <c r="D2068" s="1" t="str">
        <f t="shared" ref="D2068:D2071" si="652">"偿还融资负债本金"</f>
        <v>偿还融资负债本金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-8849.56</v>
      </c>
      <c r="O2068" s="1">
        <v>17331.23</v>
      </c>
      <c r="P2068" s="1">
        <v>0</v>
      </c>
    </row>
    <row r="2069" spans="1:16">
      <c r="A2069" s="1" t="str">
        <f t="shared" si="650"/>
        <v>20211028</v>
      </c>
      <c r="B2069" s="1"/>
      <c r="C2069" s="1"/>
      <c r="D2069" s="1" t="str">
        <f t="shared" si="651"/>
        <v>偿还融资利息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-34.31</v>
      </c>
      <c r="O2069" s="1">
        <v>17296.92</v>
      </c>
      <c r="P2069" s="1">
        <v>0</v>
      </c>
    </row>
    <row r="2070" spans="1:16">
      <c r="A2070" s="1" t="str">
        <f t="shared" si="650"/>
        <v>20211028</v>
      </c>
      <c r="B2070" s="1"/>
      <c r="C2070" s="1"/>
      <c r="D2070" s="1" t="str">
        <f t="shared" si="652"/>
        <v>偿还融资负债本金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-3641.49</v>
      </c>
      <c r="O2070" s="1">
        <v>13655.43</v>
      </c>
      <c r="P2070" s="1">
        <v>0</v>
      </c>
    </row>
    <row r="2071" spans="1:16">
      <c r="A2071" s="1" t="str">
        <f t="shared" si="650"/>
        <v>20211028</v>
      </c>
      <c r="B2071" s="1"/>
      <c r="C2071" s="1"/>
      <c r="D2071" s="1" t="str">
        <f t="shared" si="652"/>
        <v>偿还融资负债本金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-8753.51</v>
      </c>
      <c r="O2071" s="1">
        <v>4901.92</v>
      </c>
      <c r="P2071" s="1">
        <v>0</v>
      </c>
    </row>
    <row r="2072" spans="1:16">
      <c r="A2072" s="1" t="str">
        <f t="shared" si="650"/>
        <v>20211028</v>
      </c>
      <c r="B2072" s="1"/>
      <c r="C2072" s="1"/>
      <c r="D2072" s="1" t="str">
        <f t="shared" si="651"/>
        <v>偿还融资利息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-84.34</v>
      </c>
      <c r="O2072" s="1">
        <v>4817.58</v>
      </c>
      <c r="P2072" s="1">
        <v>0</v>
      </c>
    </row>
    <row r="2073" spans="1:16">
      <c r="A2073" s="1" t="str">
        <f t="shared" si="650"/>
        <v>20211028</v>
      </c>
      <c r="B2073" s="1"/>
      <c r="C2073" s="1"/>
      <c r="D2073" s="1" t="str">
        <f>"偿还融资负债本金"</f>
        <v>偿还融资负债本金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-4339.23</v>
      </c>
      <c r="O2073" s="1">
        <v>478.35</v>
      </c>
      <c r="P2073" s="1">
        <v>0</v>
      </c>
    </row>
    <row r="2074" spans="1:16">
      <c r="A2074" s="1" t="str">
        <f>"20211029"</f>
        <v>20211029</v>
      </c>
      <c r="B2074" s="1" t="str">
        <f t="shared" ref="B2074:B2077" si="653">"000543"</f>
        <v>000543</v>
      </c>
      <c r="C2074" s="1" t="str">
        <f t="shared" ref="C2074:C2077" si="654">"皖能电力"</f>
        <v>皖能电力</v>
      </c>
      <c r="D2074" s="1" t="str">
        <f>"股息红利差异扣税"</f>
        <v>股息红利差异扣税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-22.8</v>
      </c>
      <c r="O2074" s="1">
        <v>455.55</v>
      </c>
      <c r="P2074" s="1">
        <v>0</v>
      </c>
    </row>
    <row r="2075" spans="1:16">
      <c r="A2075" s="1" t="str">
        <f>"20211102"</f>
        <v>20211102</v>
      </c>
      <c r="B2075" s="1" t="str">
        <f t="shared" si="653"/>
        <v>000543</v>
      </c>
      <c r="C2075" s="1" t="str">
        <f t="shared" si="654"/>
        <v>皖能电力</v>
      </c>
      <c r="D2075" s="1" t="str">
        <f t="shared" ref="D2075:D2079" si="655">"融资买入"</f>
        <v>融资买入</v>
      </c>
      <c r="E2075" s="1">
        <v>4.19</v>
      </c>
      <c r="F2075" s="1">
        <v>3000</v>
      </c>
      <c r="G2075" s="1">
        <v>12570</v>
      </c>
      <c r="H2075" s="1">
        <v>5</v>
      </c>
      <c r="I2075" s="1">
        <v>3.89</v>
      </c>
      <c r="J2075" s="1">
        <v>0</v>
      </c>
      <c r="K2075" s="1">
        <v>0</v>
      </c>
      <c r="L2075" s="1">
        <v>0</v>
      </c>
      <c r="M2075" s="1">
        <v>0</v>
      </c>
      <c r="N2075" s="1">
        <v>-12575</v>
      </c>
      <c r="O2075" s="1">
        <v>-12119.45</v>
      </c>
      <c r="P2075" s="1">
        <v>33000</v>
      </c>
    </row>
    <row r="2076" spans="1:16">
      <c r="A2076" s="1" t="str">
        <f>"20211102"</f>
        <v>20211102</v>
      </c>
      <c r="B2076" s="1"/>
      <c r="C2076" s="1"/>
      <c r="D2076" s="1" t="str">
        <f t="shared" ref="D2076:D2080" si="656">"融资借入"</f>
        <v>融资借入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12575</v>
      </c>
      <c r="O2076" s="1">
        <v>455.55</v>
      </c>
      <c r="P2076" s="1">
        <v>0</v>
      </c>
    </row>
    <row r="2077" spans="1:16">
      <c r="A2077" s="1" t="str">
        <f>"20211105"</f>
        <v>20211105</v>
      </c>
      <c r="B2077" s="1" t="str">
        <f t="shared" si="653"/>
        <v>000543</v>
      </c>
      <c r="C2077" s="1" t="str">
        <f t="shared" si="654"/>
        <v>皖能电力</v>
      </c>
      <c r="D2077" s="1" t="str">
        <f t="shared" si="655"/>
        <v>融资买入</v>
      </c>
      <c r="E2077" s="1">
        <v>3.98</v>
      </c>
      <c r="F2077" s="1">
        <v>3000</v>
      </c>
      <c r="G2077" s="1">
        <v>11940</v>
      </c>
      <c r="H2077" s="1">
        <v>5</v>
      </c>
      <c r="I2077" s="1">
        <v>3.94</v>
      </c>
      <c r="J2077" s="1">
        <v>0</v>
      </c>
      <c r="K2077" s="1">
        <v>0</v>
      </c>
      <c r="L2077" s="1">
        <v>0</v>
      </c>
      <c r="M2077" s="1">
        <v>0</v>
      </c>
      <c r="N2077" s="1">
        <v>-11945</v>
      </c>
      <c r="O2077" s="1">
        <v>-11489.45</v>
      </c>
      <c r="P2077" s="1">
        <v>36000</v>
      </c>
    </row>
    <row r="2078" spans="1:16">
      <c r="A2078" s="1" t="str">
        <f>"20211105"</f>
        <v>20211105</v>
      </c>
      <c r="B2078" s="1"/>
      <c r="C2078" s="1"/>
      <c r="D2078" s="1" t="str">
        <f t="shared" si="656"/>
        <v>融资借入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11945</v>
      </c>
      <c r="O2078" s="1">
        <v>455.55</v>
      </c>
      <c r="P2078" s="1">
        <v>0</v>
      </c>
    </row>
    <row r="2079" spans="1:16">
      <c r="A2079" s="1" t="str">
        <f>"20211110"</f>
        <v>20211110</v>
      </c>
      <c r="B2079" s="1" t="str">
        <f>"000543"</f>
        <v>000543</v>
      </c>
      <c r="C2079" s="1" t="str">
        <f>"皖能电力"</f>
        <v>皖能电力</v>
      </c>
      <c r="D2079" s="1" t="str">
        <f t="shared" si="655"/>
        <v>融资买入</v>
      </c>
      <c r="E2079" s="1">
        <v>3.78</v>
      </c>
      <c r="F2079" s="1">
        <v>3000</v>
      </c>
      <c r="G2079" s="1">
        <v>11340</v>
      </c>
      <c r="H2079" s="1">
        <v>5</v>
      </c>
      <c r="I2079" s="1">
        <v>3.99</v>
      </c>
      <c r="J2079" s="1">
        <v>0</v>
      </c>
      <c r="K2079" s="1">
        <v>0</v>
      </c>
      <c r="L2079" s="1">
        <v>0</v>
      </c>
      <c r="M2079" s="1">
        <v>0</v>
      </c>
      <c r="N2079" s="1">
        <v>-11345</v>
      </c>
      <c r="O2079" s="1">
        <v>-10889.45</v>
      </c>
      <c r="P2079" s="1">
        <v>39000</v>
      </c>
    </row>
    <row r="2080" spans="1:16">
      <c r="A2080" s="1" t="str">
        <f>"20211110"</f>
        <v>20211110</v>
      </c>
      <c r="B2080" s="1"/>
      <c r="C2080" s="1"/>
      <c r="D2080" s="1" t="str">
        <f t="shared" si="656"/>
        <v>融资借入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11345</v>
      </c>
      <c r="O2080" s="1">
        <v>455.55</v>
      </c>
      <c r="P2080" s="1">
        <v>0</v>
      </c>
    </row>
    <row r="2081" spans="1:16">
      <c r="A2081" s="1" t="str">
        <f>"20211117"</f>
        <v>20211117</v>
      </c>
      <c r="B2081" s="1" t="str">
        <f t="shared" ref="B2081:B2086" si="657">"000543"</f>
        <v>000543</v>
      </c>
      <c r="C2081" s="1" t="str">
        <f t="shared" ref="C2081:C2086" si="658">"皖能电力"</f>
        <v>皖能电力</v>
      </c>
      <c r="D2081" s="1" t="str">
        <f>"融资买入"</f>
        <v>融资买入</v>
      </c>
      <c r="E2081" s="1">
        <v>3.75</v>
      </c>
      <c r="F2081" s="1">
        <v>5000</v>
      </c>
      <c r="G2081" s="1">
        <v>18750</v>
      </c>
      <c r="H2081" s="1">
        <v>5.63</v>
      </c>
      <c r="I2081" s="1">
        <v>3.97</v>
      </c>
      <c r="J2081" s="1">
        <v>0</v>
      </c>
      <c r="K2081" s="1">
        <v>0</v>
      </c>
      <c r="L2081" s="1">
        <v>0</v>
      </c>
      <c r="M2081" s="1">
        <v>0</v>
      </c>
      <c r="N2081" s="1">
        <v>-18755.63</v>
      </c>
      <c r="O2081" s="1">
        <v>-18300.08</v>
      </c>
      <c r="P2081" s="1">
        <v>44000</v>
      </c>
    </row>
    <row r="2082" spans="1:16">
      <c r="A2082" s="1" t="str">
        <f>"20211117"</f>
        <v>20211117</v>
      </c>
      <c r="B2082" s="1"/>
      <c r="C2082" s="1"/>
      <c r="D2082" s="1" t="str">
        <f>"融资借入"</f>
        <v>融资借入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18755.63</v>
      </c>
      <c r="O2082" s="1">
        <v>455.55</v>
      </c>
      <c r="P2082" s="1">
        <v>0</v>
      </c>
    </row>
    <row r="2083" spans="1:16">
      <c r="A2083" s="1" t="str">
        <f>"20211119"</f>
        <v>20211119</v>
      </c>
      <c r="B2083" s="1"/>
      <c r="C2083" s="1"/>
      <c r="D2083" s="1" t="str">
        <f>"偿还融券费用"</f>
        <v>偿还融券费用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-31.65</v>
      </c>
      <c r="O2083" s="1">
        <v>423.9</v>
      </c>
      <c r="P2083" s="1">
        <v>0</v>
      </c>
    </row>
    <row r="2084" spans="1:16">
      <c r="A2084" s="1" t="str">
        <f>"20211119"</f>
        <v>20211119</v>
      </c>
      <c r="B2084" s="1"/>
      <c r="C2084" s="1"/>
      <c r="D2084" s="1" t="str">
        <f>"偿还融资利息"</f>
        <v>偿还融资利息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-13.14</v>
      </c>
      <c r="O2084" s="1">
        <v>410.76</v>
      </c>
      <c r="P2084" s="1">
        <v>0</v>
      </c>
    </row>
    <row r="2085" spans="1:16">
      <c r="A2085" s="1" t="str">
        <f t="shared" ref="A2085:A2092" si="659">"20211130"</f>
        <v>20211130</v>
      </c>
      <c r="B2085" s="1" t="str">
        <f t="shared" si="657"/>
        <v>000543</v>
      </c>
      <c r="C2085" s="1" t="str">
        <f t="shared" si="658"/>
        <v>皖能电力</v>
      </c>
      <c r="D2085" s="1" t="str">
        <f>"卖券还款"</f>
        <v>卖券还款</v>
      </c>
      <c r="E2085" s="1">
        <v>3.86</v>
      </c>
      <c r="F2085" s="1">
        <v>5000</v>
      </c>
      <c r="G2085" s="1">
        <v>19300</v>
      </c>
      <c r="H2085" s="1">
        <v>5.79</v>
      </c>
      <c r="I2085" s="1">
        <v>4.07</v>
      </c>
      <c r="J2085" s="1">
        <v>19.3</v>
      </c>
      <c r="K2085" s="1">
        <v>0</v>
      </c>
      <c r="L2085" s="1">
        <v>0</v>
      </c>
      <c r="M2085" s="1">
        <v>0</v>
      </c>
      <c r="N2085" s="1">
        <v>19274.91</v>
      </c>
      <c r="O2085" s="1">
        <v>19685.67</v>
      </c>
      <c r="P2085" s="1">
        <v>39000</v>
      </c>
    </row>
    <row r="2086" spans="1:16">
      <c r="A2086" s="1" t="str">
        <f t="shared" si="659"/>
        <v>20211130</v>
      </c>
      <c r="B2086" s="1" t="str">
        <f t="shared" si="657"/>
        <v>000543</v>
      </c>
      <c r="C2086" s="1" t="str">
        <f t="shared" si="658"/>
        <v>皖能电力</v>
      </c>
      <c r="D2086" s="1" t="str">
        <f>"融资买入"</f>
        <v>融资买入</v>
      </c>
      <c r="E2086" s="1">
        <v>3.82</v>
      </c>
      <c r="F2086" s="1">
        <v>5000</v>
      </c>
      <c r="G2086" s="1">
        <v>19100</v>
      </c>
      <c r="H2086" s="1">
        <v>5.73</v>
      </c>
      <c r="I2086" s="1">
        <v>4.04</v>
      </c>
      <c r="J2086" s="1">
        <v>0</v>
      </c>
      <c r="K2086" s="1">
        <v>0</v>
      </c>
      <c r="L2086" s="1">
        <v>0</v>
      </c>
      <c r="M2086" s="1">
        <v>0</v>
      </c>
      <c r="N2086" s="1">
        <v>-19105.73</v>
      </c>
      <c r="O2086" s="1">
        <v>579.94</v>
      </c>
      <c r="P2086" s="1">
        <v>44000</v>
      </c>
    </row>
    <row r="2087" spans="1:16">
      <c r="A2087" s="1" t="str">
        <f t="shared" si="659"/>
        <v>20211130</v>
      </c>
      <c r="B2087" s="1"/>
      <c r="C2087" s="1"/>
      <c r="D2087" s="1" t="str">
        <f>"融资借入"</f>
        <v>融资借入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19105.73</v>
      </c>
      <c r="O2087" s="1">
        <v>19685.67</v>
      </c>
      <c r="P2087" s="1">
        <v>0</v>
      </c>
    </row>
    <row r="2088" spans="1:16">
      <c r="A2088" s="1" t="str">
        <f t="shared" si="659"/>
        <v>20211130</v>
      </c>
      <c r="B2088" s="1"/>
      <c r="C2088" s="1"/>
      <c r="D2088" s="1" t="str">
        <f>"偿还融券费用"</f>
        <v>偿还融券费用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-13.82</v>
      </c>
      <c r="O2088" s="1">
        <v>19671.85</v>
      </c>
      <c r="P2088" s="1">
        <v>0</v>
      </c>
    </row>
    <row r="2089" spans="1:16">
      <c r="A2089" s="1" t="str">
        <f t="shared" si="659"/>
        <v>20211130</v>
      </c>
      <c r="B2089" s="1"/>
      <c r="C2089" s="1"/>
      <c r="D2089" s="1" t="str">
        <f>"偿还融资利息"</f>
        <v>偿还融资利息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-53.19</v>
      </c>
      <c r="O2089" s="1">
        <v>19618.66</v>
      </c>
      <c r="P2089" s="1">
        <v>0</v>
      </c>
    </row>
    <row r="2090" spans="1:16">
      <c r="A2090" s="1" t="str">
        <f t="shared" si="659"/>
        <v>20211130</v>
      </c>
      <c r="B2090" s="1"/>
      <c r="C2090" s="1"/>
      <c r="D2090" s="1" t="str">
        <f>"偿还融资负债本金"</f>
        <v>偿还融资负债本金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-8655.77</v>
      </c>
      <c r="O2090" s="1">
        <v>10962.89</v>
      </c>
      <c r="P2090" s="1">
        <v>0</v>
      </c>
    </row>
    <row r="2091" spans="1:16">
      <c r="A2091" s="1" t="str">
        <f t="shared" si="659"/>
        <v>20211130</v>
      </c>
      <c r="B2091" s="1"/>
      <c r="C2091" s="1"/>
      <c r="D2091" s="1" t="str">
        <f>"偿还融资利息"</f>
        <v>偿还融资利息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-159.45</v>
      </c>
      <c r="O2091" s="1">
        <v>10803.44</v>
      </c>
      <c r="P2091" s="1">
        <v>0</v>
      </c>
    </row>
    <row r="2092" spans="1:16">
      <c r="A2092" s="1" t="str">
        <f t="shared" si="659"/>
        <v>20211130</v>
      </c>
      <c r="B2092" s="1"/>
      <c r="C2092" s="1"/>
      <c r="D2092" s="1" t="str">
        <f>"偿还融资负债本金"</f>
        <v>偿还融资负债本金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-10340.47</v>
      </c>
      <c r="O2092" s="1">
        <v>462.97</v>
      </c>
      <c r="P2092" s="1">
        <v>0</v>
      </c>
    </row>
    <row r="2093" spans="1:16">
      <c r="A2093" s="1" t="str">
        <f>"20211201"</f>
        <v>20211201</v>
      </c>
      <c r="B2093" s="1" t="str">
        <f t="shared" ref="B2093:B2095" si="660">"000543"</f>
        <v>000543</v>
      </c>
      <c r="C2093" s="1" t="str">
        <f t="shared" ref="C2093:C2095" si="661">"皖能电力"</f>
        <v>皖能电力</v>
      </c>
      <c r="D2093" s="1" t="str">
        <f>"股息红利差异扣税"</f>
        <v>股息红利差异扣税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-45.6</v>
      </c>
      <c r="O2093" s="1">
        <v>417.37</v>
      </c>
      <c r="P2093" s="1">
        <v>0</v>
      </c>
    </row>
    <row r="2094" spans="1:16">
      <c r="A2094" s="1" t="str">
        <f t="shared" ref="A2094:A2105" si="662">"20211203"</f>
        <v>20211203</v>
      </c>
      <c r="B2094" s="1" t="str">
        <f t="shared" si="660"/>
        <v>000543</v>
      </c>
      <c r="C2094" s="1" t="str">
        <f t="shared" si="661"/>
        <v>皖能电力</v>
      </c>
      <c r="D2094" s="1" t="str">
        <f>"卖券还款"</f>
        <v>卖券还款</v>
      </c>
      <c r="E2094" s="1">
        <v>3.97</v>
      </c>
      <c r="F2094" s="1">
        <v>3000</v>
      </c>
      <c r="G2094" s="1">
        <v>11910</v>
      </c>
      <c r="H2094" s="1">
        <v>5</v>
      </c>
      <c r="I2094" s="1">
        <v>3.94</v>
      </c>
      <c r="J2094" s="1">
        <v>11.91</v>
      </c>
      <c r="K2094" s="1">
        <v>0</v>
      </c>
      <c r="L2094" s="1">
        <v>0</v>
      </c>
      <c r="M2094" s="1">
        <v>0</v>
      </c>
      <c r="N2094" s="1">
        <v>11893.09</v>
      </c>
      <c r="O2094" s="1">
        <v>12310.46</v>
      </c>
      <c r="P2094" s="1">
        <v>41000</v>
      </c>
    </row>
    <row r="2095" spans="1:16">
      <c r="A2095" s="1" t="str">
        <f t="shared" si="662"/>
        <v>20211203</v>
      </c>
      <c r="B2095" s="1" t="str">
        <f t="shared" si="660"/>
        <v>000543</v>
      </c>
      <c r="C2095" s="1" t="str">
        <f t="shared" si="661"/>
        <v>皖能电力</v>
      </c>
      <c r="D2095" s="1" t="str">
        <f>"卖券还款"</f>
        <v>卖券还款</v>
      </c>
      <c r="E2095" s="1">
        <v>3.85</v>
      </c>
      <c r="F2095" s="1">
        <v>5000</v>
      </c>
      <c r="G2095" s="1">
        <v>19250</v>
      </c>
      <c r="H2095" s="1">
        <v>5.78</v>
      </c>
      <c r="I2095" s="1">
        <v>4.06</v>
      </c>
      <c r="J2095" s="1">
        <v>19.25</v>
      </c>
      <c r="K2095" s="1">
        <v>0</v>
      </c>
      <c r="L2095" s="1">
        <v>0</v>
      </c>
      <c r="M2095" s="1">
        <v>0</v>
      </c>
      <c r="N2095" s="1">
        <v>19224.97</v>
      </c>
      <c r="O2095" s="1">
        <v>31535.43</v>
      </c>
      <c r="P2095" s="1">
        <v>36000</v>
      </c>
    </row>
    <row r="2096" spans="1:16">
      <c r="A2096" s="1" t="str">
        <f t="shared" si="662"/>
        <v>20211203</v>
      </c>
      <c r="B2096" s="1"/>
      <c r="C2096" s="1"/>
      <c r="D2096" s="1" t="str">
        <f t="shared" ref="D2096:D2101" si="663">"偿还融资负债本金"</f>
        <v>偿还融资负债本金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-9852.07</v>
      </c>
      <c r="O2096" s="1">
        <v>21683.36</v>
      </c>
      <c r="P2096" s="1">
        <v>0</v>
      </c>
    </row>
    <row r="2097" spans="1:16">
      <c r="A2097" s="1" t="str">
        <f t="shared" si="662"/>
        <v>20211203</v>
      </c>
      <c r="B2097" s="1"/>
      <c r="C2097" s="1"/>
      <c r="D2097" s="1" t="str">
        <f t="shared" ref="D2097:D2102" si="664">"偿还融资利息"</f>
        <v>偿还融资利息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-145.28</v>
      </c>
      <c r="O2097" s="1">
        <v>21538.08</v>
      </c>
      <c r="P2097" s="1">
        <v>0</v>
      </c>
    </row>
    <row r="2098" spans="1:16">
      <c r="A2098" s="1" t="str">
        <f t="shared" si="662"/>
        <v>20211203</v>
      </c>
      <c r="B2098" s="1"/>
      <c r="C2098" s="1"/>
      <c r="D2098" s="1" t="str">
        <f t="shared" si="663"/>
        <v>偿还融资负债本金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-1865.01</v>
      </c>
      <c r="O2098" s="1">
        <v>19673.07</v>
      </c>
      <c r="P2098" s="1">
        <v>0</v>
      </c>
    </row>
    <row r="2099" spans="1:16">
      <c r="A2099" s="1" t="str">
        <f t="shared" si="662"/>
        <v>20211203</v>
      </c>
      <c r="B2099" s="1"/>
      <c r="C2099" s="1"/>
      <c r="D2099" s="1" t="str">
        <f>"偿还融券费用"</f>
        <v>偿还融券费用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-4.11</v>
      </c>
      <c r="O2099" s="1">
        <v>19668.96</v>
      </c>
      <c r="P2099" s="1">
        <v>0</v>
      </c>
    </row>
    <row r="2100" spans="1:16">
      <c r="A2100" s="1" t="str">
        <f t="shared" si="662"/>
        <v>20211203</v>
      </c>
      <c r="B2100" s="1"/>
      <c r="C2100" s="1"/>
      <c r="D2100" s="1" t="str">
        <f t="shared" si="664"/>
        <v>偿还融资利息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-1.83</v>
      </c>
      <c r="O2100" s="1">
        <v>19667.13</v>
      </c>
      <c r="P2100" s="1">
        <v>0</v>
      </c>
    </row>
    <row r="2101" spans="1:16">
      <c r="A2101" s="1" t="str">
        <f t="shared" si="662"/>
        <v>20211203</v>
      </c>
      <c r="B2101" s="1"/>
      <c r="C2101" s="1"/>
      <c r="D2101" s="1" t="str">
        <f t="shared" si="663"/>
        <v>偿还融资负债本金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-2624.53</v>
      </c>
      <c r="O2101" s="1">
        <v>17042.6</v>
      </c>
      <c r="P2101" s="1">
        <v>0</v>
      </c>
    </row>
    <row r="2102" spans="1:16">
      <c r="A2102" s="1" t="str">
        <f t="shared" si="662"/>
        <v>20211203</v>
      </c>
      <c r="B2102" s="1"/>
      <c r="C2102" s="1"/>
      <c r="D2102" s="1" t="str">
        <f t="shared" si="664"/>
        <v>偿还融资利息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-159.19</v>
      </c>
      <c r="O2102" s="1">
        <v>16883.41</v>
      </c>
      <c r="P2102" s="1">
        <v>0</v>
      </c>
    </row>
    <row r="2103" spans="1:16">
      <c r="A2103" s="1" t="str">
        <f t="shared" si="662"/>
        <v>20211203</v>
      </c>
      <c r="B2103" s="1"/>
      <c r="C2103" s="1"/>
      <c r="D2103" s="1" t="str">
        <f>"偿还融资负债本金"</f>
        <v>偿还融资负债本金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-13205</v>
      </c>
      <c r="O2103" s="1">
        <v>3678.41</v>
      </c>
      <c r="P2103" s="1">
        <v>0</v>
      </c>
    </row>
    <row r="2104" spans="1:16">
      <c r="A2104" s="1" t="str">
        <f t="shared" si="662"/>
        <v>20211203</v>
      </c>
      <c r="B2104" s="1"/>
      <c r="C2104" s="1"/>
      <c r="D2104" s="1" t="str">
        <f>"偿还融资利息"</f>
        <v>偿还融资利息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-155.41</v>
      </c>
      <c r="O2104" s="1">
        <v>3523</v>
      </c>
      <c r="P2104" s="1">
        <v>0</v>
      </c>
    </row>
    <row r="2105" spans="1:16">
      <c r="A2105" s="1" t="str">
        <f t="shared" si="662"/>
        <v>20211203</v>
      </c>
      <c r="B2105" s="1"/>
      <c r="C2105" s="1"/>
      <c r="D2105" s="1" t="str">
        <f>"偿还融资负债本金"</f>
        <v>偿还融资负债本金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-3022.93</v>
      </c>
      <c r="O2105" s="1">
        <v>500.07</v>
      </c>
      <c r="P2105" s="1">
        <v>0</v>
      </c>
    </row>
    <row r="2106" spans="1:16">
      <c r="A2106" s="1" t="str">
        <f>"20211206"</f>
        <v>20211206</v>
      </c>
      <c r="B2106" s="1" t="str">
        <f t="shared" ref="B2106:B2108" si="665">"000543"</f>
        <v>000543</v>
      </c>
      <c r="C2106" s="1" t="str">
        <f t="shared" ref="C2106:C2108" si="666">"皖能电力"</f>
        <v>皖能电力</v>
      </c>
      <c r="D2106" s="1" t="str">
        <f>"股息红利差异扣税"</f>
        <v>股息红利差异扣税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-30.4</v>
      </c>
      <c r="O2106" s="1">
        <v>469.67</v>
      </c>
      <c r="P2106" s="1">
        <v>0</v>
      </c>
    </row>
    <row r="2107" spans="1:16">
      <c r="A2107" s="1" t="str">
        <f t="shared" ref="A2107:A2115" si="667">"20211214"</f>
        <v>20211214</v>
      </c>
      <c r="B2107" s="1" t="str">
        <f t="shared" si="665"/>
        <v>000543</v>
      </c>
      <c r="C2107" s="1" t="str">
        <f t="shared" si="666"/>
        <v>皖能电力</v>
      </c>
      <c r="D2107" s="1" t="str">
        <f>"卖券还款"</f>
        <v>卖券还款</v>
      </c>
      <c r="E2107" s="1">
        <v>4.17</v>
      </c>
      <c r="F2107" s="1">
        <v>3000</v>
      </c>
      <c r="G2107" s="1">
        <v>12510</v>
      </c>
      <c r="H2107" s="1">
        <v>5</v>
      </c>
      <c r="I2107" s="1">
        <v>3.89</v>
      </c>
      <c r="J2107" s="1">
        <v>12.51</v>
      </c>
      <c r="K2107" s="1">
        <v>0</v>
      </c>
      <c r="L2107" s="1">
        <v>0</v>
      </c>
      <c r="M2107" s="1">
        <v>0</v>
      </c>
      <c r="N2107" s="1">
        <v>12492.49</v>
      </c>
      <c r="O2107" s="1">
        <v>12962.16</v>
      </c>
      <c r="P2107" s="1">
        <v>33000</v>
      </c>
    </row>
    <row r="2108" spans="1:16">
      <c r="A2108" s="1" t="str">
        <f t="shared" si="667"/>
        <v>20211214</v>
      </c>
      <c r="B2108" s="1" t="str">
        <f t="shared" si="665"/>
        <v>000543</v>
      </c>
      <c r="C2108" s="1" t="str">
        <f t="shared" si="666"/>
        <v>皖能电力</v>
      </c>
      <c r="D2108" s="1" t="str">
        <f>"卖券还款"</f>
        <v>卖券还款</v>
      </c>
      <c r="E2108" s="1">
        <v>4.38</v>
      </c>
      <c r="F2108" s="1">
        <v>3000</v>
      </c>
      <c r="G2108" s="1">
        <v>13140</v>
      </c>
      <c r="H2108" s="1">
        <v>5</v>
      </c>
      <c r="I2108" s="1">
        <v>3.84</v>
      </c>
      <c r="J2108" s="1">
        <v>13.14</v>
      </c>
      <c r="K2108" s="1">
        <v>0</v>
      </c>
      <c r="L2108" s="1">
        <v>0</v>
      </c>
      <c r="M2108" s="1">
        <v>0</v>
      </c>
      <c r="N2108" s="1">
        <v>13121.86</v>
      </c>
      <c r="O2108" s="1">
        <v>26084.02</v>
      </c>
      <c r="P2108" s="1">
        <v>30000</v>
      </c>
    </row>
    <row r="2109" spans="1:16">
      <c r="A2109" s="1" t="str">
        <f t="shared" si="667"/>
        <v>20211214</v>
      </c>
      <c r="B2109" s="1"/>
      <c r="C2109" s="1"/>
      <c r="D2109" s="1" t="str">
        <f t="shared" ref="D2109:D2114" si="668">"偿还融资利息"</f>
        <v>偿还融资利息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-26.53</v>
      </c>
      <c r="O2109" s="1">
        <v>26057.49</v>
      </c>
      <c r="P2109" s="1">
        <v>0</v>
      </c>
    </row>
    <row r="2110" spans="1:16">
      <c r="A2110" s="1" t="str">
        <f t="shared" si="667"/>
        <v>20211214</v>
      </c>
      <c r="B2110" s="1"/>
      <c r="C2110" s="1"/>
      <c r="D2110" s="1" t="str">
        <f t="shared" ref="D2110:D2113" si="669">"偿还融资负债本金"</f>
        <v>偿还融资负债本金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-10409.99</v>
      </c>
      <c r="O2110" s="1">
        <v>15647.5</v>
      </c>
      <c r="P2110" s="1">
        <v>0</v>
      </c>
    </row>
    <row r="2111" spans="1:16">
      <c r="A2111" s="1" t="str">
        <f t="shared" si="667"/>
        <v>20211214</v>
      </c>
      <c r="B2111" s="1"/>
      <c r="C2111" s="1"/>
      <c r="D2111" s="1" t="str">
        <f t="shared" si="668"/>
        <v>偿还融资利息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-159</v>
      </c>
      <c r="O2111" s="1">
        <v>15488.5</v>
      </c>
      <c r="P2111" s="1">
        <v>0</v>
      </c>
    </row>
    <row r="2112" spans="1:16">
      <c r="A2112" s="1" t="str">
        <f t="shared" si="667"/>
        <v>20211214</v>
      </c>
      <c r="B2112" s="1"/>
      <c r="C2112" s="1"/>
      <c r="D2112" s="1" t="str">
        <f t="shared" si="669"/>
        <v>偿还融资负债本金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-1864.44</v>
      </c>
      <c r="O2112" s="1">
        <v>13624.06</v>
      </c>
      <c r="P2112" s="1">
        <v>0</v>
      </c>
    </row>
    <row r="2113" spans="1:16">
      <c r="A2113" s="1" t="str">
        <f t="shared" si="667"/>
        <v>20211214</v>
      </c>
      <c r="B2113" s="1"/>
      <c r="C2113" s="1"/>
      <c r="D2113" s="1" t="str">
        <f t="shared" si="669"/>
        <v>偿还融资负债本金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-9570.56</v>
      </c>
      <c r="O2113" s="1">
        <v>4053.5</v>
      </c>
      <c r="P2113" s="1">
        <v>0</v>
      </c>
    </row>
    <row r="2114" spans="1:16">
      <c r="A2114" s="1" t="str">
        <f t="shared" si="667"/>
        <v>20211214</v>
      </c>
      <c r="B2114" s="1"/>
      <c r="C2114" s="1"/>
      <c r="D2114" s="1" t="str">
        <f t="shared" si="668"/>
        <v>偿还融资利息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-122.58</v>
      </c>
      <c r="O2114" s="1">
        <v>3930.92</v>
      </c>
      <c r="P2114" s="1">
        <v>0</v>
      </c>
    </row>
    <row r="2115" spans="1:16">
      <c r="A2115" s="1" t="str">
        <f t="shared" si="667"/>
        <v>20211214</v>
      </c>
      <c r="B2115" s="1"/>
      <c r="C2115" s="1"/>
      <c r="D2115" s="1" t="str">
        <f t="shared" ref="D2115:D2120" si="670">"偿还融资负债本金"</f>
        <v>偿还融资负债本金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-3394.3</v>
      </c>
      <c r="O2115" s="1">
        <v>536.62</v>
      </c>
      <c r="P2115" s="1">
        <v>0</v>
      </c>
    </row>
    <row r="2116" spans="1:16">
      <c r="A2116" s="1" t="str">
        <f t="shared" ref="A2116:A2120" si="671">"20211215"</f>
        <v>20211215</v>
      </c>
      <c r="B2116" s="1" t="str">
        <f>"000543"</f>
        <v>000543</v>
      </c>
      <c r="C2116" s="1" t="str">
        <f>"皖能电力"</f>
        <v>皖能电力</v>
      </c>
      <c r="D2116" s="1" t="str">
        <f>"卖券还款"</f>
        <v>卖券还款</v>
      </c>
      <c r="E2116" s="1">
        <v>4.6</v>
      </c>
      <c r="F2116" s="1">
        <v>3000</v>
      </c>
      <c r="G2116" s="1">
        <v>13800</v>
      </c>
      <c r="H2116" s="1">
        <v>5</v>
      </c>
      <c r="I2116" s="1">
        <v>3.77</v>
      </c>
      <c r="J2116" s="1">
        <v>13.8</v>
      </c>
      <c r="K2116" s="1">
        <v>0</v>
      </c>
      <c r="L2116" s="1">
        <v>0</v>
      </c>
      <c r="M2116" s="1">
        <v>0</v>
      </c>
      <c r="N2116" s="1">
        <v>13781.2</v>
      </c>
      <c r="O2116" s="1">
        <v>14317.82</v>
      </c>
      <c r="P2116" s="1">
        <v>27000</v>
      </c>
    </row>
    <row r="2117" spans="1:16">
      <c r="A2117" s="1" t="str">
        <f t="shared" si="671"/>
        <v>20211215</v>
      </c>
      <c r="B2117" s="1"/>
      <c r="C2117" s="1"/>
      <c r="D2117" s="1" t="str">
        <f t="shared" ref="D2117:D2124" si="672">"偿还融资利息"</f>
        <v>偿还融资利息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-2.13</v>
      </c>
      <c r="O2117" s="1">
        <v>14315.69</v>
      </c>
      <c r="P2117" s="1">
        <v>0</v>
      </c>
    </row>
    <row r="2118" spans="1:16">
      <c r="A2118" s="1" t="str">
        <f t="shared" si="671"/>
        <v>20211215</v>
      </c>
      <c r="B2118" s="1"/>
      <c r="C2118" s="1"/>
      <c r="D2118" s="1" t="str">
        <f t="shared" si="670"/>
        <v>偿还融资负债本金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-9180.7</v>
      </c>
      <c r="O2118" s="1">
        <v>5134.99</v>
      </c>
      <c r="P2118" s="1">
        <v>0</v>
      </c>
    </row>
    <row r="2119" spans="1:16">
      <c r="A2119" s="1" t="str">
        <f t="shared" si="671"/>
        <v>20211215</v>
      </c>
      <c r="B2119" s="1"/>
      <c r="C2119" s="1"/>
      <c r="D2119" s="1" t="str">
        <f t="shared" si="672"/>
        <v>偿还融资利息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-110.8</v>
      </c>
      <c r="O2119" s="1">
        <v>5024.19</v>
      </c>
      <c r="P2119" s="1">
        <v>0</v>
      </c>
    </row>
    <row r="2120" spans="1:16">
      <c r="A2120" s="1" t="str">
        <f t="shared" si="671"/>
        <v>20211215</v>
      </c>
      <c r="B2120" s="1"/>
      <c r="C2120" s="1"/>
      <c r="D2120" s="1" t="str">
        <f t="shared" si="670"/>
        <v>偿还融资负债本金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-4451.17</v>
      </c>
      <c r="O2120" s="1">
        <v>573.02</v>
      </c>
      <c r="P2120" s="1">
        <v>0</v>
      </c>
    </row>
    <row r="2121" spans="1:16">
      <c r="A2121" s="1" t="str">
        <f t="shared" ref="A2121:A2124" si="673">"20211220"</f>
        <v>20211220</v>
      </c>
      <c r="B2121" s="1"/>
      <c r="C2121" s="1"/>
      <c r="D2121" s="1" t="str">
        <f>"利息归本"</f>
        <v>利息归本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0.41</v>
      </c>
      <c r="O2121" s="1">
        <v>573.43</v>
      </c>
      <c r="P2121" s="1">
        <v>0</v>
      </c>
    </row>
    <row r="2122" spans="1:16">
      <c r="A2122" s="1" t="str">
        <f t="shared" si="673"/>
        <v>20211220</v>
      </c>
      <c r="B2122" s="1"/>
      <c r="C2122" s="1"/>
      <c r="D2122" s="1" t="str">
        <f t="shared" si="672"/>
        <v>偿还融资利息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-10.44</v>
      </c>
      <c r="O2122" s="1">
        <v>562.99</v>
      </c>
      <c r="P2122" s="1">
        <v>0</v>
      </c>
    </row>
    <row r="2123" spans="1:16">
      <c r="A2123" s="1" t="str">
        <f t="shared" si="673"/>
        <v>20211220</v>
      </c>
      <c r="B2123" s="1"/>
      <c r="C2123" s="1"/>
      <c r="D2123" s="1" t="str">
        <f t="shared" si="672"/>
        <v>偿还融资利息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-107.83</v>
      </c>
      <c r="O2123" s="1">
        <v>455.16</v>
      </c>
      <c r="P2123" s="1">
        <v>0</v>
      </c>
    </row>
    <row r="2124" spans="1:16">
      <c r="A2124" s="1" t="str">
        <f t="shared" si="673"/>
        <v>20211220</v>
      </c>
      <c r="B2124" s="1"/>
      <c r="C2124" s="1"/>
      <c r="D2124" s="1" t="str">
        <f t="shared" si="672"/>
        <v>偿还融资利息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-44.4</v>
      </c>
      <c r="O2124" s="1">
        <v>410.76</v>
      </c>
      <c r="P2124" s="1">
        <v>0</v>
      </c>
    </row>
    <row r="2125" spans="1:16">
      <c r="A2125" s="1" t="str">
        <f t="shared" ref="A2125:A2129" si="674">"20211223"</f>
        <v>20211223</v>
      </c>
      <c r="B2125" s="1" t="str">
        <f>"000543"</f>
        <v>000543</v>
      </c>
      <c r="C2125" s="1" t="str">
        <f>"皖能电力"</f>
        <v>皖能电力</v>
      </c>
      <c r="D2125" s="1" t="str">
        <f>"卖券还款"</f>
        <v>卖券还款</v>
      </c>
      <c r="E2125" s="1">
        <v>5.05</v>
      </c>
      <c r="F2125" s="1">
        <v>3000</v>
      </c>
      <c r="G2125" s="1">
        <v>15150</v>
      </c>
      <c r="H2125" s="1">
        <v>5</v>
      </c>
      <c r="I2125" s="1">
        <v>3.66</v>
      </c>
      <c r="J2125" s="1">
        <v>15.16</v>
      </c>
      <c r="K2125" s="1">
        <v>0</v>
      </c>
      <c r="L2125" s="1">
        <v>0</v>
      </c>
      <c r="M2125" s="1">
        <v>0</v>
      </c>
      <c r="N2125" s="1">
        <v>15129.84</v>
      </c>
      <c r="O2125" s="1">
        <v>15540.6</v>
      </c>
      <c r="P2125" s="1">
        <v>24000</v>
      </c>
    </row>
    <row r="2126" spans="1:16">
      <c r="A2126" s="1" t="str">
        <f t="shared" si="674"/>
        <v>20211223</v>
      </c>
      <c r="B2126" s="1"/>
      <c r="C2126" s="1"/>
      <c r="D2126" s="1" t="str">
        <f t="shared" ref="D2126:D2131" si="675">"偿还融资利息"</f>
        <v>偿还融资利息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-3.48</v>
      </c>
      <c r="O2126" s="1">
        <v>15537.12</v>
      </c>
      <c r="P2126" s="1">
        <v>0</v>
      </c>
    </row>
    <row r="2127" spans="1:16">
      <c r="A2127" s="1" t="str">
        <f t="shared" si="674"/>
        <v>20211223</v>
      </c>
      <c r="B2127" s="1"/>
      <c r="C2127" s="1"/>
      <c r="D2127" s="1" t="str">
        <f t="shared" ref="D2127:D2132" si="676">"偿还融资负债本金"</f>
        <v>偿还融资负债本金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-7493.83</v>
      </c>
      <c r="O2127" s="1">
        <v>8043.29</v>
      </c>
      <c r="P2127" s="1">
        <v>0</v>
      </c>
    </row>
    <row r="2128" spans="1:16">
      <c r="A2128" s="1" t="str">
        <f t="shared" si="674"/>
        <v>20211223</v>
      </c>
      <c r="B2128" s="1"/>
      <c r="C2128" s="1"/>
      <c r="D2128" s="1" t="str">
        <f t="shared" si="675"/>
        <v>偿还融资利息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-5.26</v>
      </c>
      <c r="O2128" s="1">
        <v>8038.03</v>
      </c>
      <c r="P2128" s="1">
        <v>0</v>
      </c>
    </row>
    <row r="2129" spans="1:16">
      <c r="A2129" s="1" t="str">
        <f t="shared" si="674"/>
        <v>20211223</v>
      </c>
      <c r="B2129" s="1"/>
      <c r="C2129" s="1"/>
      <c r="D2129" s="1" t="str">
        <f t="shared" si="676"/>
        <v>偿还融资负债本金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-7586.73</v>
      </c>
      <c r="O2129" s="1">
        <v>451.3</v>
      </c>
      <c r="P2129" s="1">
        <v>0</v>
      </c>
    </row>
    <row r="2130" spans="1:16">
      <c r="A2130" s="1" t="str">
        <f t="shared" ref="A2130:A2134" si="677">"20211224"</f>
        <v>20211224</v>
      </c>
      <c r="B2130" s="1" t="str">
        <f>"000543"</f>
        <v>000543</v>
      </c>
      <c r="C2130" s="1" t="str">
        <f>"皖能电力"</f>
        <v>皖能电力</v>
      </c>
      <c r="D2130" s="1" t="str">
        <f>"卖券还款"</f>
        <v>卖券还款</v>
      </c>
      <c r="E2130" s="1">
        <v>5.72</v>
      </c>
      <c r="F2130" s="1">
        <v>3000</v>
      </c>
      <c r="G2130" s="1">
        <v>17160</v>
      </c>
      <c r="H2130" s="1">
        <v>5.15</v>
      </c>
      <c r="I2130" s="1">
        <v>3.63</v>
      </c>
      <c r="J2130" s="1">
        <v>17.16</v>
      </c>
      <c r="K2130" s="1">
        <v>0</v>
      </c>
      <c r="L2130" s="1">
        <v>0</v>
      </c>
      <c r="M2130" s="1">
        <v>0</v>
      </c>
      <c r="N2130" s="1">
        <v>17137.69</v>
      </c>
      <c r="O2130" s="1">
        <v>17588.99</v>
      </c>
      <c r="P2130" s="1">
        <v>21000</v>
      </c>
    </row>
    <row r="2131" spans="1:16">
      <c r="A2131" s="1" t="str">
        <f t="shared" si="677"/>
        <v>20211224</v>
      </c>
      <c r="B2131" s="1"/>
      <c r="C2131" s="1"/>
      <c r="D2131" s="1" t="str">
        <f t="shared" si="675"/>
        <v>偿还融资利息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-0.87</v>
      </c>
      <c r="O2131" s="1">
        <v>17588.12</v>
      </c>
      <c r="P2131" s="1">
        <v>0</v>
      </c>
    </row>
    <row r="2132" spans="1:16">
      <c r="A2132" s="1" t="str">
        <f t="shared" si="677"/>
        <v>20211224</v>
      </c>
      <c r="B2132" s="1"/>
      <c r="C2132" s="1"/>
      <c r="D2132" s="1" t="str">
        <f t="shared" si="676"/>
        <v>偿还融资负债本金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-3758.27</v>
      </c>
      <c r="O2132" s="1">
        <v>13829.85</v>
      </c>
      <c r="P2132" s="1">
        <v>0</v>
      </c>
    </row>
    <row r="2133" spans="1:16">
      <c r="A2133" s="1" t="str">
        <f t="shared" si="677"/>
        <v>20211224</v>
      </c>
      <c r="B2133" s="1"/>
      <c r="C2133" s="1"/>
      <c r="D2133" s="1" t="str">
        <f>"偿还融资利息"</f>
        <v>偿还融资利息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-116.55</v>
      </c>
      <c r="O2133" s="1">
        <v>13713.3</v>
      </c>
      <c r="P2133" s="1">
        <v>0</v>
      </c>
    </row>
    <row r="2134" spans="1:16">
      <c r="A2134" s="1" t="str">
        <f t="shared" si="677"/>
        <v>20211224</v>
      </c>
      <c r="B2134" s="1"/>
      <c r="C2134" s="1"/>
      <c r="D2134" s="1" t="str">
        <f>"偿还融资负债本金"</f>
        <v>偿还融资负债本金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-13215.67</v>
      </c>
      <c r="O2134" s="1">
        <v>497.63</v>
      </c>
      <c r="P2134" s="1">
        <v>0</v>
      </c>
    </row>
    <row r="2135" spans="1:16">
      <c r="A2135" s="1" t="str">
        <f>"20220106"</f>
        <v>20220106</v>
      </c>
      <c r="B2135" s="1" t="str">
        <f>"159781"</f>
        <v>159781</v>
      </c>
      <c r="C2135" s="1" t="str">
        <f>"科创创业"</f>
        <v>科创创业</v>
      </c>
      <c r="D2135" s="1" t="str">
        <f>"融资买入"</f>
        <v>融资买入</v>
      </c>
      <c r="E2135" s="1">
        <v>0.776</v>
      </c>
      <c r="F2135" s="1">
        <v>28000</v>
      </c>
      <c r="G2135" s="1">
        <v>21728</v>
      </c>
      <c r="H2135" s="1">
        <v>6.52</v>
      </c>
      <c r="I2135" s="1">
        <v>5.65</v>
      </c>
      <c r="J2135" s="1">
        <v>0</v>
      </c>
      <c r="K2135" s="1">
        <v>0</v>
      </c>
      <c r="L2135" s="1">
        <v>0</v>
      </c>
      <c r="M2135" s="1">
        <v>0</v>
      </c>
      <c r="N2135" s="1">
        <v>-21734.52</v>
      </c>
      <c r="O2135" s="1">
        <v>-21236.89</v>
      </c>
      <c r="P2135" s="1">
        <v>28000</v>
      </c>
    </row>
    <row r="2136" spans="1:16">
      <c r="A2136" s="1" t="str">
        <f>"20220106"</f>
        <v>20220106</v>
      </c>
      <c r="B2136" s="1"/>
      <c r="C2136" s="1"/>
      <c r="D2136" s="1" t="str">
        <f>"融资借入"</f>
        <v>融资借入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21734.52</v>
      </c>
      <c r="O2136" s="1">
        <v>497.63</v>
      </c>
      <c r="P2136" s="1">
        <v>0</v>
      </c>
    </row>
    <row r="2137" spans="1:16">
      <c r="A2137" s="1" t="str">
        <f t="shared" ref="A2137:A2141" si="678">"20220117"</f>
        <v>20220117</v>
      </c>
      <c r="B2137" s="1" t="str">
        <f>"159781"</f>
        <v>159781</v>
      </c>
      <c r="C2137" s="1" t="str">
        <f>"科创创业"</f>
        <v>科创创业</v>
      </c>
      <c r="D2137" s="1" t="str">
        <f>"卖券还款"</f>
        <v>卖券还款</v>
      </c>
      <c r="E2137" s="1">
        <v>0.796</v>
      </c>
      <c r="F2137" s="1">
        <v>14000</v>
      </c>
      <c r="G2137" s="1">
        <v>11144</v>
      </c>
      <c r="H2137" s="1">
        <v>5</v>
      </c>
      <c r="I2137" s="1">
        <v>4.55</v>
      </c>
      <c r="J2137" s="1">
        <v>0</v>
      </c>
      <c r="K2137" s="1">
        <v>0</v>
      </c>
      <c r="L2137" s="1">
        <v>0</v>
      </c>
      <c r="M2137" s="1">
        <v>0</v>
      </c>
      <c r="N2137" s="1">
        <v>11139</v>
      </c>
      <c r="O2137" s="1">
        <v>11636.63</v>
      </c>
      <c r="P2137" s="1">
        <v>14000</v>
      </c>
    </row>
    <row r="2138" spans="1:16">
      <c r="A2138" s="1" t="str">
        <f t="shared" si="678"/>
        <v>20220117</v>
      </c>
      <c r="B2138" s="1"/>
      <c r="C2138" s="1"/>
      <c r="D2138" s="1" t="str">
        <f>"偿还融资利息"</f>
        <v>偿还融资利息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-30.76</v>
      </c>
      <c r="O2138" s="1">
        <v>11605.87</v>
      </c>
      <c r="P2138" s="1">
        <v>0</v>
      </c>
    </row>
    <row r="2139" spans="1:16">
      <c r="A2139" s="1" t="str">
        <f t="shared" si="678"/>
        <v>20220117</v>
      </c>
      <c r="B2139" s="1"/>
      <c r="C2139" s="1"/>
      <c r="D2139" s="1" t="str">
        <f>"偿还融资负债本金"</f>
        <v>偿还融资负债本金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-5539.96</v>
      </c>
      <c r="O2139" s="1">
        <v>6065.91</v>
      </c>
      <c r="P2139" s="1">
        <v>0</v>
      </c>
    </row>
    <row r="2140" spans="1:16">
      <c r="A2140" s="1" t="str">
        <f t="shared" si="678"/>
        <v>20220117</v>
      </c>
      <c r="B2140" s="1"/>
      <c r="C2140" s="1"/>
      <c r="D2140" s="1" t="str">
        <f>"偿还融资利息"</f>
        <v>偿还融资利息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-212.64</v>
      </c>
      <c r="O2140" s="1">
        <v>5853.27</v>
      </c>
      <c r="P2140" s="1">
        <v>0</v>
      </c>
    </row>
    <row r="2141" spans="1:16">
      <c r="A2141" s="1" t="str">
        <f t="shared" si="678"/>
        <v>20220117</v>
      </c>
      <c r="B2141" s="1"/>
      <c r="C2141" s="1"/>
      <c r="D2141" s="1" t="str">
        <f>"偿还融资负债本金"</f>
        <v>偿还融资负债本金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-5327.21</v>
      </c>
      <c r="O2141" s="1">
        <v>526.06</v>
      </c>
      <c r="P2141" s="1">
        <v>0</v>
      </c>
    </row>
    <row r="2142" spans="1:16">
      <c r="A2142" s="1" t="str">
        <f t="shared" ref="A2142:A2144" si="679">"20220119"</f>
        <v>20220119</v>
      </c>
      <c r="B2142" s="1" t="str">
        <f>"159781"</f>
        <v>159781</v>
      </c>
      <c r="C2142" s="1" t="str">
        <f>"科创创业"</f>
        <v>科创创业</v>
      </c>
      <c r="D2142" s="1" t="str">
        <f>"融资买入"</f>
        <v>融资买入</v>
      </c>
      <c r="E2142" s="1">
        <v>0.78</v>
      </c>
      <c r="F2142" s="1">
        <v>14000</v>
      </c>
      <c r="G2142" s="1">
        <v>10920</v>
      </c>
      <c r="H2142" s="1">
        <v>5</v>
      </c>
      <c r="I2142" s="1">
        <v>4.56</v>
      </c>
      <c r="J2142" s="1">
        <v>0</v>
      </c>
      <c r="K2142" s="1">
        <v>0</v>
      </c>
      <c r="L2142" s="1">
        <v>0</v>
      </c>
      <c r="M2142" s="1">
        <v>0</v>
      </c>
      <c r="N2142" s="1">
        <v>-10925</v>
      </c>
      <c r="O2142" s="1">
        <v>-10398.94</v>
      </c>
      <c r="P2142" s="1">
        <v>28000</v>
      </c>
    </row>
    <row r="2143" spans="1:16">
      <c r="A2143" s="1" t="str">
        <f t="shared" si="679"/>
        <v>20220119</v>
      </c>
      <c r="B2143" s="1"/>
      <c r="C2143" s="1"/>
      <c r="D2143" s="1" t="str">
        <f>"融资借入"</f>
        <v>融资借入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10925</v>
      </c>
      <c r="O2143" s="1">
        <v>526.06</v>
      </c>
      <c r="P2143" s="1">
        <v>0</v>
      </c>
    </row>
    <row r="2144" spans="1:16">
      <c r="A2144" s="1" t="str">
        <f t="shared" si="679"/>
        <v>20220119</v>
      </c>
      <c r="B2144" s="1"/>
      <c r="C2144" s="1"/>
      <c r="D2144" s="1" t="str">
        <f>"偿还融券权益金额"</f>
        <v>偿还融券权益金额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-90</v>
      </c>
      <c r="O2144" s="1">
        <v>436.06</v>
      </c>
      <c r="P2144" s="1">
        <v>0</v>
      </c>
    </row>
    <row r="2145" spans="1:16">
      <c r="A2145" s="1" t="str">
        <f t="shared" ref="A2145:A2147" si="680">"20220120"</f>
        <v>20220120</v>
      </c>
      <c r="B2145" s="1"/>
      <c r="C2145" s="1"/>
      <c r="D2145" s="1" t="str">
        <f>"偿还融资利息"</f>
        <v>偿还融资利息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-12.8</v>
      </c>
      <c r="O2145" s="1">
        <v>423.26</v>
      </c>
      <c r="P2145" s="1">
        <v>0</v>
      </c>
    </row>
    <row r="2146" spans="1:16">
      <c r="A2146" s="1" t="str">
        <f t="shared" si="680"/>
        <v>20220120</v>
      </c>
      <c r="B2146" s="1"/>
      <c r="C2146" s="1"/>
      <c r="D2146" s="1" t="str">
        <f>"偿还融券费用"</f>
        <v>偿还融券费用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-67.94</v>
      </c>
      <c r="O2146" s="1">
        <v>355.32</v>
      </c>
      <c r="P2146" s="1">
        <v>0</v>
      </c>
    </row>
    <row r="2147" spans="1:16">
      <c r="A2147" s="1" t="str">
        <f t="shared" si="680"/>
        <v>20220120</v>
      </c>
      <c r="B2147" s="1"/>
      <c r="C2147" s="1"/>
      <c r="D2147" s="1" t="str">
        <f>"偿还融资利息"</f>
        <v>偿还融资利息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-34.56</v>
      </c>
      <c r="O2147" s="1">
        <v>320.76</v>
      </c>
      <c r="P2147" s="1">
        <v>0</v>
      </c>
    </row>
    <row r="2148" spans="1:16">
      <c r="A2148" s="1" t="str">
        <f>"20220121"</f>
        <v>20220121</v>
      </c>
      <c r="B2148" s="1" t="str">
        <f>"159781"</f>
        <v>159781</v>
      </c>
      <c r="C2148" s="1" t="str">
        <f>"科创创业"</f>
        <v>科创创业</v>
      </c>
      <c r="D2148" s="1" t="str">
        <f t="shared" ref="D2148:D2151" si="681">"融资买入"</f>
        <v>融资买入</v>
      </c>
      <c r="E2148" s="1">
        <v>0.764</v>
      </c>
      <c r="F2148" s="1">
        <v>14000</v>
      </c>
      <c r="G2148" s="1">
        <v>10696</v>
      </c>
      <c r="H2148" s="1">
        <v>5</v>
      </c>
      <c r="I2148" s="1">
        <v>4.57</v>
      </c>
      <c r="J2148" s="1">
        <v>0</v>
      </c>
      <c r="K2148" s="1">
        <v>0</v>
      </c>
      <c r="L2148" s="1">
        <v>0</v>
      </c>
      <c r="M2148" s="1">
        <v>0</v>
      </c>
      <c r="N2148" s="1">
        <v>-10701</v>
      </c>
      <c r="O2148" s="1">
        <v>-10380.24</v>
      </c>
      <c r="P2148" s="1">
        <v>42000</v>
      </c>
    </row>
    <row r="2149" spans="1:16">
      <c r="A2149" s="1" t="str">
        <f>"20220121"</f>
        <v>20220121</v>
      </c>
      <c r="B2149" s="1"/>
      <c r="C2149" s="1"/>
      <c r="D2149" s="1" t="str">
        <f t="shared" ref="D2149:D2153" si="682">"融资借入"</f>
        <v>融资借入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10701</v>
      </c>
      <c r="O2149" s="1">
        <v>320.76</v>
      </c>
      <c r="P2149" s="1">
        <v>0</v>
      </c>
    </row>
    <row r="2150" spans="1:16">
      <c r="A2150" s="1" t="str">
        <f t="shared" ref="A2150:A2153" si="683">"20220125"</f>
        <v>20220125</v>
      </c>
      <c r="B2150" s="1" t="str">
        <f>"000543"</f>
        <v>000543</v>
      </c>
      <c r="C2150" s="1" t="str">
        <f>"皖能电力"</f>
        <v>皖能电力</v>
      </c>
      <c r="D2150" s="1" t="str">
        <f t="shared" si="681"/>
        <v>融资买入</v>
      </c>
      <c r="E2150" s="1">
        <v>4.37</v>
      </c>
      <c r="F2150" s="1">
        <v>3000</v>
      </c>
      <c r="G2150" s="1">
        <v>13110</v>
      </c>
      <c r="H2150" s="1">
        <v>5</v>
      </c>
      <c r="I2150" s="1">
        <v>3.84</v>
      </c>
      <c r="J2150" s="1">
        <v>0</v>
      </c>
      <c r="K2150" s="1">
        <v>0</v>
      </c>
      <c r="L2150" s="1">
        <v>0</v>
      </c>
      <c r="M2150" s="1">
        <v>0</v>
      </c>
      <c r="N2150" s="1">
        <v>-13115</v>
      </c>
      <c r="O2150" s="1">
        <v>-12794.24</v>
      </c>
      <c r="P2150" s="1">
        <v>24000</v>
      </c>
    </row>
    <row r="2151" spans="1:16">
      <c r="A2151" s="1" t="str">
        <f t="shared" si="683"/>
        <v>20220125</v>
      </c>
      <c r="B2151" s="1" t="str">
        <f>"000543"</f>
        <v>000543</v>
      </c>
      <c r="C2151" s="1" t="str">
        <f>"皖能电力"</f>
        <v>皖能电力</v>
      </c>
      <c r="D2151" s="1" t="str">
        <f t="shared" si="681"/>
        <v>融资买入</v>
      </c>
      <c r="E2151" s="1">
        <v>4.15</v>
      </c>
      <c r="F2151" s="1">
        <v>3000</v>
      </c>
      <c r="G2151" s="1">
        <v>12450</v>
      </c>
      <c r="H2151" s="1">
        <v>5</v>
      </c>
      <c r="I2151" s="1">
        <v>3.89</v>
      </c>
      <c r="J2151" s="1">
        <v>0</v>
      </c>
      <c r="K2151" s="1">
        <v>0</v>
      </c>
      <c r="L2151" s="1">
        <v>0</v>
      </c>
      <c r="M2151" s="1">
        <v>0</v>
      </c>
      <c r="N2151" s="1">
        <v>-12455</v>
      </c>
      <c r="O2151" s="1">
        <v>-25249.24</v>
      </c>
      <c r="P2151" s="1">
        <v>27000</v>
      </c>
    </row>
    <row r="2152" spans="1:16">
      <c r="A2152" s="1" t="str">
        <f t="shared" si="683"/>
        <v>20220125</v>
      </c>
      <c r="B2152" s="1"/>
      <c r="C2152" s="1"/>
      <c r="D2152" s="1" t="str">
        <f t="shared" si="682"/>
        <v>融资借入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13115</v>
      </c>
      <c r="O2152" s="1">
        <v>-12134.24</v>
      </c>
      <c r="P2152" s="1">
        <v>0</v>
      </c>
    </row>
    <row r="2153" spans="1:16">
      <c r="A2153" s="1" t="str">
        <f t="shared" si="683"/>
        <v>20220125</v>
      </c>
      <c r="B2153" s="1"/>
      <c r="C2153" s="1"/>
      <c r="D2153" s="1" t="str">
        <f t="shared" si="682"/>
        <v>融资借入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12455</v>
      </c>
      <c r="O2153" s="1">
        <v>320.76</v>
      </c>
      <c r="P2153" s="1">
        <v>0</v>
      </c>
    </row>
    <row r="2154" spans="1:16">
      <c r="A2154" s="1" t="str">
        <f t="shared" ref="A2154:A2157" si="684">"20220127"</f>
        <v>20220127</v>
      </c>
      <c r="B2154" s="1" t="str">
        <f t="shared" ref="B2154:B2159" si="685">"159781"</f>
        <v>159781</v>
      </c>
      <c r="C2154" s="1" t="str">
        <f t="shared" ref="C2154:C2159" si="686">"科创创业"</f>
        <v>科创创业</v>
      </c>
      <c r="D2154" s="1" t="str">
        <f t="shared" ref="D2154:D2159" si="687">"融资买入"</f>
        <v>融资买入</v>
      </c>
      <c r="E2154" s="1">
        <v>0.749</v>
      </c>
      <c r="F2154" s="1">
        <v>14000</v>
      </c>
      <c r="G2154" s="1">
        <v>10486</v>
      </c>
      <c r="H2154" s="1">
        <v>5</v>
      </c>
      <c r="I2154" s="1">
        <v>4.58</v>
      </c>
      <c r="J2154" s="1">
        <v>0</v>
      </c>
      <c r="K2154" s="1">
        <v>0</v>
      </c>
      <c r="L2154" s="1">
        <v>0</v>
      </c>
      <c r="M2154" s="1">
        <v>0</v>
      </c>
      <c r="N2154" s="1">
        <v>-10491</v>
      </c>
      <c r="O2154" s="1">
        <v>-10170.24</v>
      </c>
      <c r="P2154" s="1">
        <v>56000</v>
      </c>
    </row>
    <row r="2155" spans="1:16">
      <c r="A2155" s="1" t="str">
        <f t="shared" si="684"/>
        <v>20220127</v>
      </c>
      <c r="B2155" s="1" t="str">
        <f t="shared" si="685"/>
        <v>159781</v>
      </c>
      <c r="C2155" s="1" t="str">
        <f t="shared" si="686"/>
        <v>科创创业</v>
      </c>
      <c r="D2155" s="1" t="str">
        <f t="shared" si="687"/>
        <v>融资买入</v>
      </c>
      <c r="E2155" s="1">
        <v>0.734</v>
      </c>
      <c r="F2155" s="1">
        <v>14000</v>
      </c>
      <c r="G2155" s="1">
        <v>10276</v>
      </c>
      <c r="H2155" s="1">
        <v>5</v>
      </c>
      <c r="I2155" s="1">
        <v>4.59</v>
      </c>
      <c r="J2155" s="1">
        <v>0</v>
      </c>
      <c r="K2155" s="1">
        <v>0</v>
      </c>
      <c r="L2155" s="1">
        <v>0</v>
      </c>
      <c r="M2155" s="1">
        <v>0</v>
      </c>
      <c r="N2155" s="1">
        <v>-10281</v>
      </c>
      <c r="O2155" s="1">
        <v>-20451.24</v>
      </c>
      <c r="P2155" s="1">
        <v>70000</v>
      </c>
    </row>
    <row r="2156" spans="1:16">
      <c r="A2156" s="1" t="str">
        <f t="shared" si="684"/>
        <v>20220127</v>
      </c>
      <c r="B2156" s="1"/>
      <c r="C2156" s="1"/>
      <c r="D2156" s="1" t="str">
        <f t="shared" ref="D2156:D2160" si="688">"融资借入"</f>
        <v>融资借入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10491</v>
      </c>
      <c r="O2156" s="1">
        <v>-9960.24</v>
      </c>
      <c r="P2156" s="1">
        <v>0</v>
      </c>
    </row>
    <row r="2157" spans="1:16">
      <c r="A2157" s="1" t="str">
        <f t="shared" si="684"/>
        <v>20220127</v>
      </c>
      <c r="B2157" s="1"/>
      <c r="C2157" s="1"/>
      <c r="D2157" s="1" t="str">
        <f t="shared" si="688"/>
        <v>融资借入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10281</v>
      </c>
      <c r="O2157" s="1">
        <v>320.76</v>
      </c>
      <c r="P2157" s="1">
        <v>0</v>
      </c>
    </row>
    <row r="2158" spans="1:16">
      <c r="A2158" s="1" t="str">
        <f t="shared" ref="A2158:A2162" si="689">"20220207"</f>
        <v>20220207</v>
      </c>
      <c r="B2158" s="1" t="str">
        <f t="shared" si="685"/>
        <v>159781</v>
      </c>
      <c r="C2158" s="1" t="str">
        <f t="shared" si="686"/>
        <v>科创创业</v>
      </c>
      <c r="D2158" s="1" t="str">
        <f>"卖券还款"</f>
        <v>卖券还款</v>
      </c>
      <c r="E2158" s="1">
        <v>0.749</v>
      </c>
      <c r="F2158" s="1">
        <v>14000</v>
      </c>
      <c r="G2158" s="1">
        <v>10486</v>
      </c>
      <c r="H2158" s="1">
        <v>5</v>
      </c>
      <c r="I2158" s="1">
        <v>4.58</v>
      </c>
      <c r="J2158" s="1">
        <v>0</v>
      </c>
      <c r="K2158" s="1">
        <v>0</v>
      </c>
      <c r="L2158" s="1">
        <v>0</v>
      </c>
      <c r="M2158" s="1">
        <v>0</v>
      </c>
      <c r="N2158" s="1">
        <v>10481</v>
      </c>
      <c r="O2158" s="1">
        <v>10801.76</v>
      </c>
      <c r="P2158" s="1">
        <v>56000</v>
      </c>
    </row>
    <row r="2159" spans="1:16">
      <c r="A2159" s="1" t="str">
        <f t="shared" si="689"/>
        <v>20220207</v>
      </c>
      <c r="B2159" s="1" t="str">
        <f t="shared" si="685"/>
        <v>159781</v>
      </c>
      <c r="C2159" s="1" t="str">
        <f t="shared" si="686"/>
        <v>科创创业</v>
      </c>
      <c r="D2159" s="1" t="str">
        <f t="shared" si="687"/>
        <v>融资买入</v>
      </c>
      <c r="E2159" s="1">
        <v>0.734</v>
      </c>
      <c r="F2159" s="1">
        <v>14000</v>
      </c>
      <c r="G2159" s="1">
        <v>10276</v>
      </c>
      <c r="H2159" s="1">
        <v>5</v>
      </c>
      <c r="I2159" s="1">
        <v>4.59</v>
      </c>
      <c r="J2159" s="1">
        <v>0</v>
      </c>
      <c r="K2159" s="1">
        <v>0</v>
      </c>
      <c r="L2159" s="1">
        <v>0</v>
      </c>
      <c r="M2159" s="1">
        <v>0</v>
      </c>
      <c r="N2159" s="1">
        <v>-10281</v>
      </c>
      <c r="O2159" s="1">
        <v>520.76</v>
      </c>
      <c r="P2159" s="1">
        <v>70000</v>
      </c>
    </row>
    <row r="2160" spans="1:16">
      <c r="A2160" s="1" t="str">
        <f t="shared" si="689"/>
        <v>20220207</v>
      </c>
      <c r="B2160" s="1"/>
      <c r="C2160" s="1"/>
      <c r="D2160" s="1" t="str">
        <f t="shared" si="688"/>
        <v>融资借入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10281</v>
      </c>
      <c r="O2160" s="1">
        <v>10801.76</v>
      </c>
      <c r="P2160" s="1">
        <v>0</v>
      </c>
    </row>
    <row r="2161" spans="1:16">
      <c r="A2161" s="1" t="str">
        <f t="shared" si="689"/>
        <v>20220207</v>
      </c>
      <c r="B2161" s="1"/>
      <c r="C2161" s="1"/>
      <c r="D2161" s="1" t="str">
        <f>"偿还融资利息"</f>
        <v>偿还融资利息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-54.35</v>
      </c>
      <c r="O2161" s="1">
        <v>10747.41</v>
      </c>
      <c r="P2161" s="1">
        <v>0</v>
      </c>
    </row>
    <row r="2162" spans="1:16">
      <c r="A2162" s="1" t="str">
        <f t="shared" si="689"/>
        <v>20220207</v>
      </c>
      <c r="B2162" s="1"/>
      <c r="C2162" s="1"/>
      <c r="D2162" s="1" t="str">
        <f>"偿还融资负债本金"</f>
        <v>偿还融资负债本金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-10400.09</v>
      </c>
      <c r="O2162" s="1">
        <v>347.32</v>
      </c>
      <c r="P2162" s="1">
        <v>0</v>
      </c>
    </row>
    <row r="2163" spans="1:16">
      <c r="A2163" s="1" t="str">
        <f>"20220208"</f>
        <v>20220208</v>
      </c>
      <c r="B2163" s="1" t="str">
        <f t="shared" ref="B2163:B2168" si="690">"159781"</f>
        <v>159781</v>
      </c>
      <c r="C2163" s="1" t="str">
        <f t="shared" ref="C2163:C2168" si="691">"科创创业"</f>
        <v>科创创业</v>
      </c>
      <c r="D2163" s="1" t="str">
        <f t="shared" ref="D2163:D2167" si="692">"融资买入"</f>
        <v>融资买入</v>
      </c>
      <c r="E2163" s="1">
        <v>0.719</v>
      </c>
      <c r="F2163" s="1">
        <v>14000</v>
      </c>
      <c r="G2163" s="1">
        <v>10066</v>
      </c>
      <c r="H2163" s="1">
        <v>5</v>
      </c>
      <c r="I2163" s="1">
        <v>4.6</v>
      </c>
      <c r="J2163" s="1">
        <v>0</v>
      </c>
      <c r="K2163" s="1">
        <v>0</v>
      </c>
      <c r="L2163" s="1">
        <v>0</v>
      </c>
      <c r="M2163" s="1">
        <v>0</v>
      </c>
      <c r="N2163" s="1">
        <v>-10071</v>
      </c>
      <c r="O2163" s="1">
        <v>-9723.68</v>
      </c>
      <c r="P2163" s="1">
        <v>84000</v>
      </c>
    </row>
    <row r="2164" spans="1:16">
      <c r="A2164" s="1" t="str">
        <f>"20220208"</f>
        <v>20220208</v>
      </c>
      <c r="B2164" s="1"/>
      <c r="C2164" s="1"/>
      <c r="D2164" s="1" t="str">
        <f t="shared" ref="D2164:D2169" si="693">"融资借入"</f>
        <v>融资借入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10071</v>
      </c>
      <c r="O2164" s="1">
        <v>347.32</v>
      </c>
      <c r="P2164" s="1">
        <v>0</v>
      </c>
    </row>
    <row r="2165" spans="1:16">
      <c r="A2165" s="1" t="str">
        <f>"20220211"</f>
        <v>20220211</v>
      </c>
      <c r="B2165" s="1" t="str">
        <f t="shared" si="690"/>
        <v>159781</v>
      </c>
      <c r="C2165" s="1" t="str">
        <f t="shared" si="691"/>
        <v>科创创业</v>
      </c>
      <c r="D2165" s="1" t="str">
        <f t="shared" si="692"/>
        <v>融资买入</v>
      </c>
      <c r="E2165" s="1">
        <v>0.694</v>
      </c>
      <c r="F2165" s="1">
        <v>14000</v>
      </c>
      <c r="G2165" s="1">
        <v>9716</v>
      </c>
      <c r="H2165" s="1">
        <v>5</v>
      </c>
      <c r="I2165" s="1">
        <v>4.61</v>
      </c>
      <c r="J2165" s="1">
        <v>0</v>
      </c>
      <c r="K2165" s="1">
        <v>0</v>
      </c>
      <c r="L2165" s="1">
        <v>0</v>
      </c>
      <c r="M2165" s="1">
        <v>0</v>
      </c>
      <c r="N2165" s="1">
        <v>-9721</v>
      </c>
      <c r="O2165" s="1">
        <v>-9373.68</v>
      </c>
      <c r="P2165" s="1">
        <v>98000</v>
      </c>
    </row>
    <row r="2166" spans="1:16">
      <c r="A2166" s="1" t="str">
        <f>"20220211"</f>
        <v>20220211</v>
      </c>
      <c r="B2166" s="1"/>
      <c r="C2166" s="1"/>
      <c r="D2166" s="1" t="str">
        <f t="shared" si="693"/>
        <v>融资借入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9721</v>
      </c>
      <c r="O2166" s="1">
        <v>347.32</v>
      </c>
      <c r="P2166" s="1">
        <v>0</v>
      </c>
    </row>
    <row r="2167" spans="1:16">
      <c r="A2167" s="1" t="str">
        <f t="shared" ref="A2167:A2174" si="694">"20220217"</f>
        <v>20220217</v>
      </c>
      <c r="B2167" s="1" t="str">
        <f>"000543"</f>
        <v>000543</v>
      </c>
      <c r="C2167" s="1" t="str">
        <f>"皖能电力"</f>
        <v>皖能电力</v>
      </c>
      <c r="D2167" s="1" t="str">
        <f t="shared" si="692"/>
        <v>融资买入</v>
      </c>
      <c r="E2167" s="1">
        <v>4.17</v>
      </c>
      <c r="F2167" s="1">
        <v>3000</v>
      </c>
      <c r="G2167" s="1">
        <v>12510</v>
      </c>
      <c r="H2167" s="1">
        <v>5</v>
      </c>
      <c r="I2167" s="1">
        <v>3.89</v>
      </c>
      <c r="J2167" s="1">
        <v>0</v>
      </c>
      <c r="K2167" s="1">
        <v>0</v>
      </c>
      <c r="L2167" s="1">
        <v>0</v>
      </c>
      <c r="M2167" s="1">
        <v>0</v>
      </c>
      <c r="N2167" s="1">
        <v>-12515</v>
      </c>
      <c r="O2167" s="1">
        <v>-12167.68</v>
      </c>
      <c r="P2167" s="1">
        <v>30000</v>
      </c>
    </row>
    <row r="2168" spans="1:16">
      <c r="A2168" s="1" t="str">
        <f t="shared" si="694"/>
        <v>20220217</v>
      </c>
      <c r="B2168" s="1" t="str">
        <f t="shared" si="690"/>
        <v>159781</v>
      </c>
      <c r="C2168" s="1" t="str">
        <f t="shared" si="691"/>
        <v>科创创业</v>
      </c>
      <c r="D2168" s="1" t="str">
        <f>"卖券还款"</f>
        <v>卖券还款</v>
      </c>
      <c r="E2168" s="1">
        <v>0.714</v>
      </c>
      <c r="F2168" s="1">
        <v>14000</v>
      </c>
      <c r="G2168" s="1">
        <v>9996</v>
      </c>
      <c r="H2168" s="1">
        <v>5</v>
      </c>
      <c r="I2168" s="1">
        <v>4.6</v>
      </c>
      <c r="J2168" s="1">
        <v>0</v>
      </c>
      <c r="K2168" s="1">
        <v>0</v>
      </c>
      <c r="L2168" s="1">
        <v>0</v>
      </c>
      <c r="M2168" s="1">
        <v>0</v>
      </c>
      <c r="N2168" s="1">
        <v>9991</v>
      </c>
      <c r="O2168" s="1">
        <v>-2176.68</v>
      </c>
      <c r="P2168" s="1">
        <v>84000</v>
      </c>
    </row>
    <row r="2169" spans="1:16">
      <c r="A2169" s="1" t="str">
        <f t="shared" si="694"/>
        <v>20220217</v>
      </c>
      <c r="B2169" s="1"/>
      <c r="C2169" s="1"/>
      <c r="D2169" s="1" t="str">
        <f t="shared" si="693"/>
        <v>融资借入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12515</v>
      </c>
      <c r="O2169" s="1">
        <v>10338.32</v>
      </c>
      <c r="P2169" s="1">
        <v>0</v>
      </c>
    </row>
    <row r="2170" spans="1:16">
      <c r="A2170" s="1" t="str">
        <f t="shared" si="694"/>
        <v>20220217</v>
      </c>
      <c r="B2170" s="1"/>
      <c r="C2170" s="1"/>
      <c r="D2170" s="1" t="str">
        <f>"偿还融资利息"</f>
        <v>偿还融资利息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-7.81</v>
      </c>
      <c r="O2170" s="1">
        <v>10330.51</v>
      </c>
      <c r="P2170" s="1">
        <v>0</v>
      </c>
    </row>
    <row r="2171" spans="1:16">
      <c r="A2171" s="1" t="str">
        <f t="shared" si="694"/>
        <v>20220217</v>
      </c>
      <c r="B2171" s="1"/>
      <c r="C2171" s="1"/>
      <c r="D2171" s="1" t="str">
        <f>"偿还融资负债本金"</f>
        <v>偿还融资负债本金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-3378.43</v>
      </c>
      <c r="O2171" s="1">
        <v>6952.08</v>
      </c>
      <c r="P2171" s="1">
        <v>0</v>
      </c>
    </row>
    <row r="2172" spans="1:16">
      <c r="A2172" s="1" t="str">
        <f t="shared" si="694"/>
        <v>20220217</v>
      </c>
      <c r="B2172" s="1"/>
      <c r="C2172" s="1"/>
      <c r="D2172" s="1" t="str">
        <f>"偿还融券费用"</f>
        <v>偿还融券费用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-34.72</v>
      </c>
      <c r="O2172" s="1">
        <v>6917.36</v>
      </c>
      <c r="P2172" s="1">
        <v>0</v>
      </c>
    </row>
    <row r="2173" spans="1:16">
      <c r="A2173" s="1" t="str">
        <f t="shared" si="694"/>
        <v>20220217</v>
      </c>
      <c r="B2173" s="1"/>
      <c r="C2173" s="1"/>
      <c r="D2173" s="1" t="str">
        <f>"偿还融资利息"</f>
        <v>偿还融资利息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-177.13</v>
      </c>
      <c r="O2173" s="1">
        <v>6740.23</v>
      </c>
      <c r="P2173" s="1">
        <v>0</v>
      </c>
    </row>
    <row r="2174" spans="1:16">
      <c r="A2174" s="1" t="str">
        <f t="shared" si="694"/>
        <v>20220217</v>
      </c>
      <c r="B2174" s="1"/>
      <c r="C2174" s="1"/>
      <c r="D2174" s="1" t="str">
        <f>"偿还融资负债本金"</f>
        <v>偿还融资负债本金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-6367.92</v>
      </c>
      <c r="O2174" s="1">
        <v>372.31</v>
      </c>
      <c r="P2174" s="1">
        <v>0</v>
      </c>
    </row>
    <row r="2175" spans="1:16">
      <c r="A2175" s="1" t="str">
        <f t="shared" ref="A2175:A2182" si="695">"20220218"</f>
        <v>20220218</v>
      </c>
      <c r="B2175" s="1" t="str">
        <f>"000543"</f>
        <v>000543</v>
      </c>
      <c r="C2175" s="1" t="str">
        <f>"皖能电力"</f>
        <v>皖能电力</v>
      </c>
      <c r="D2175" s="1" t="str">
        <f>"卖券还款"</f>
        <v>卖券还款</v>
      </c>
      <c r="E2175" s="1">
        <v>4.36</v>
      </c>
      <c r="F2175" s="1">
        <v>3000</v>
      </c>
      <c r="G2175" s="1">
        <v>13080</v>
      </c>
      <c r="H2175" s="1">
        <v>5</v>
      </c>
      <c r="I2175" s="1">
        <v>3.84</v>
      </c>
      <c r="J2175" s="1">
        <v>13.08</v>
      </c>
      <c r="K2175" s="1">
        <v>0</v>
      </c>
      <c r="L2175" s="1">
        <v>0</v>
      </c>
      <c r="M2175" s="1">
        <v>0</v>
      </c>
      <c r="N2175" s="1">
        <v>13061.92</v>
      </c>
      <c r="O2175" s="1">
        <v>13434.23</v>
      </c>
      <c r="P2175" s="1">
        <v>27000</v>
      </c>
    </row>
    <row r="2176" spans="1:16">
      <c r="A2176" s="1" t="str">
        <f t="shared" si="695"/>
        <v>20220218</v>
      </c>
      <c r="B2176" s="1"/>
      <c r="C2176" s="1"/>
      <c r="D2176" s="1" t="str">
        <f>"偿还融券费用"</f>
        <v>偿还融券费用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-1.29</v>
      </c>
      <c r="O2176" s="1">
        <v>13432.94</v>
      </c>
      <c r="P2176" s="1">
        <v>0</v>
      </c>
    </row>
    <row r="2177" spans="1:16">
      <c r="A2177" s="1" t="str">
        <f t="shared" si="695"/>
        <v>20220218</v>
      </c>
      <c r="B2177" s="1"/>
      <c r="C2177" s="1"/>
      <c r="D2177" s="1" t="str">
        <f t="shared" ref="D2177:D2182" si="696">"偿还融资利息"</f>
        <v>偿还融资利息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-3.56</v>
      </c>
      <c r="O2177" s="1">
        <v>13429.38</v>
      </c>
      <c r="P2177" s="1">
        <v>0</v>
      </c>
    </row>
    <row r="2178" spans="1:16">
      <c r="A2178" s="1" t="str">
        <f t="shared" si="695"/>
        <v>20220218</v>
      </c>
      <c r="B2178" s="1"/>
      <c r="C2178" s="1"/>
      <c r="D2178" s="1" t="str">
        <f>"偿还融资负债本金"</f>
        <v>偿还融资负债本金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-13022.83</v>
      </c>
      <c r="O2178" s="1">
        <v>406.55</v>
      </c>
      <c r="P2178" s="1">
        <v>0</v>
      </c>
    </row>
    <row r="2179" spans="1:16">
      <c r="A2179" s="1" t="str">
        <f t="shared" si="695"/>
        <v>20220218</v>
      </c>
      <c r="B2179" s="1"/>
      <c r="C2179" s="1"/>
      <c r="D2179" s="1" t="str">
        <f>"偿还融券费用"</f>
        <v>偿还融券费用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-1.29</v>
      </c>
      <c r="O2179" s="1">
        <v>405.26</v>
      </c>
      <c r="P2179" s="1">
        <v>0</v>
      </c>
    </row>
    <row r="2180" spans="1:16">
      <c r="A2180" s="1" t="str">
        <f t="shared" si="695"/>
        <v>20220218</v>
      </c>
      <c r="B2180" s="1"/>
      <c r="C2180" s="1"/>
      <c r="D2180" s="1" t="str">
        <f t="shared" si="696"/>
        <v>偿还融资利息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-0.54</v>
      </c>
      <c r="O2180" s="1">
        <v>404.72</v>
      </c>
      <c r="P2180" s="1">
        <v>0</v>
      </c>
    </row>
    <row r="2181" spans="1:16">
      <c r="A2181" s="1" t="str">
        <f t="shared" si="695"/>
        <v>20220218</v>
      </c>
      <c r="B2181" s="1"/>
      <c r="C2181" s="1"/>
      <c r="D2181" s="1" t="str">
        <f t="shared" si="696"/>
        <v>偿还融资利息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-78.49</v>
      </c>
      <c r="O2181" s="1">
        <v>326.23</v>
      </c>
      <c r="P2181" s="1">
        <v>0</v>
      </c>
    </row>
    <row r="2182" spans="1:16">
      <c r="A2182" s="1" t="str">
        <f t="shared" si="695"/>
        <v>20220218</v>
      </c>
      <c r="B2182" s="1"/>
      <c r="C2182" s="1"/>
      <c r="D2182" s="1" t="str">
        <f t="shared" si="696"/>
        <v>偿还融资利息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-5.47</v>
      </c>
      <c r="O2182" s="1">
        <v>320.76</v>
      </c>
      <c r="P2182" s="1">
        <v>0</v>
      </c>
    </row>
    <row r="2183" spans="1:16">
      <c r="A2183" s="1" t="str">
        <f t="shared" ref="A2183:A2188" si="697">"20220225"</f>
        <v>20220225</v>
      </c>
      <c r="B2183" s="1" t="str">
        <f>"159781"</f>
        <v>159781</v>
      </c>
      <c r="C2183" s="1" t="str">
        <f>"科创创业"</f>
        <v>科创创业</v>
      </c>
      <c r="D2183" s="1" t="str">
        <f>"卖券还款"</f>
        <v>卖券还款</v>
      </c>
      <c r="E2183" s="1">
        <v>0.733</v>
      </c>
      <c r="F2183" s="1">
        <v>14000</v>
      </c>
      <c r="G2183" s="1">
        <v>10262</v>
      </c>
      <c r="H2183" s="1">
        <v>5</v>
      </c>
      <c r="I2183" s="1">
        <v>4.59</v>
      </c>
      <c r="J2183" s="1">
        <v>0</v>
      </c>
      <c r="K2183" s="1">
        <v>0</v>
      </c>
      <c r="L2183" s="1">
        <v>0</v>
      </c>
      <c r="M2183" s="1">
        <v>0</v>
      </c>
      <c r="N2183" s="1">
        <v>10257</v>
      </c>
      <c r="O2183" s="1">
        <v>10577.76</v>
      </c>
      <c r="P2183" s="1">
        <v>70000</v>
      </c>
    </row>
    <row r="2184" spans="1:16">
      <c r="A2184" s="1" t="str">
        <f t="shared" si="697"/>
        <v>20220225</v>
      </c>
      <c r="B2184" s="1"/>
      <c r="C2184" s="1"/>
      <c r="D2184" s="1" t="str">
        <f>"偿还融券费用"</f>
        <v>偿还融券费用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-7.69</v>
      </c>
      <c r="O2184" s="1">
        <v>10570.07</v>
      </c>
      <c r="P2184" s="1">
        <v>0</v>
      </c>
    </row>
    <row r="2185" spans="1:16">
      <c r="A2185" s="1" t="str">
        <f t="shared" si="697"/>
        <v>20220225</v>
      </c>
      <c r="B2185" s="1"/>
      <c r="C2185" s="1"/>
      <c r="D2185" s="1" t="str">
        <f>"偿还融资利息"</f>
        <v>偿还融资利息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-3.25</v>
      </c>
      <c r="O2185" s="1">
        <v>10566.82</v>
      </c>
      <c r="P2185" s="1">
        <v>0</v>
      </c>
    </row>
    <row r="2186" spans="1:16">
      <c r="A2186" s="1" t="str">
        <f t="shared" si="697"/>
        <v>20220225</v>
      </c>
      <c r="B2186" s="1"/>
      <c r="C2186" s="1"/>
      <c r="D2186" s="1" t="str">
        <f>"偿还融资负债本金"</f>
        <v>偿还融资负债本金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-2343.77</v>
      </c>
      <c r="O2186" s="1">
        <v>8223.05</v>
      </c>
      <c r="P2186" s="1">
        <v>0</v>
      </c>
    </row>
    <row r="2187" spans="1:16">
      <c r="A2187" s="1" t="str">
        <f t="shared" si="697"/>
        <v>20220225</v>
      </c>
      <c r="B2187" s="1"/>
      <c r="C2187" s="1"/>
      <c r="D2187" s="1" t="str">
        <f>"偿还融资利息"</f>
        <v>偿还融资利息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-15.19</v>
      </c>
      <c r="O2187" s="1">
        <v>8207.86</v>
      </c>
      <c r="P2187" s="1">
        <v>0</v>
      </c>
    </row>
    <row r="2188" spans="1:16">
      <c r="A2188" s="1" t="str">
        <f t="shared" si="697"/>
        <v>20220225</v>
      </c>
      <c r="B2188" s="1"/>
      <c r="C2188" s="1"/>
      <c r="D2188" s="1" t="str">
        <f>"偿还融资负债本金"</f>
        <v>偿还融资负债本金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-7861.21</v>
      </c>
      <c r="O2188" s="1">
        <v>346.65</v>
      </c>
      <c r="P2188" s="1">
        <v>0</v>
      </c>
    </row>
    <row r="2189" spans="1:16">
      <c r="A2189" s="1" t="str">
        <f>"20220302"</f>
        <v>20220302</v>
      </c>
      <c r="B2189" s="1" t="str">
        <f>"159781"</f>
        <v>159781</v>
      </c>
      <c r="C2189" s="1" t="str">
        <f>"科创创业"</f>
        <v>科创创业</v>
      </c>
      <c r="D2189" s="1" t="str">
        <f t="shared" ref="D2189:D2193" si="698">"融资买入"</f>
        <v>融资买入</v>
      </c>
      <c r="E2189" s="1">
        <v>0.718</v>
      </c>
      <c r="F2189" s="1">
        <v>14000</v>
      </c>
      <c r="G2189" s="1">
        <v>10052</v>
      </c>
      <c r="H2189" s="1">
        <v>5</v>
      </c>
      <c r="I2189" s="1">
        <v>4.6</v>
      </c>
      <c r="J2189" s="1">
        <v>0</v>
      </c>
      <c r="K2189" s="1">
        <v>0</v>
      </c>
      <c r="L2189" s="1">
        <v>0</v>
      </c>
      <c r="M2189" s="1">
        <v>0</v>
      </c>
      <c r="N2189" s="1">
        <v>-10057</v>
      </c>
      <c r="O2189" s="1">
        <v>-9710.35</v>
      </c>
      <c r="P2189" s="1">
        <v>84000</v>
      </c>
    </row>
    <row r="2190" spans="1:16">
      <c r="A2190" s="1" t="str">
        <f>"20220302"</f>
        <v>20220302</v>
      </c>
      <c r="B2190" s="1"/>
      <c r="C2190" s="1"/>
      <c r="D2190" s="1" t="str">
        <f t="shared" ref="D2190:D2194" si="699">"融资借入"</f>
        <v>融资借入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10057</v>
      </c>
      <c r="O2190" s="1">
        <v>346.65</v>
      </c>
      <c r="P2190" s="1">
        <v>0</v>
      </c>
    </row>
    <row r="2191" spans="1:16">
      <c r="A2191" s="1" t="str">
        <f>"20220307"</f>
        <v>20220307</v>
      </c>
      <c r="B2191" s="1" t="str">
        <f>"159781"</f>
        <v>159781</v>
      </c>
      <c r="C2191" s="1" t="str">
        <f>"科创创业"</f>
        <v>科创创业</v>
      </c>
      <c r="D2191" s="1" t="str">
        <f t="shared" si="698"/>
        <v>融资买入</v>
      </c>
      <c r="E2191" s="1">
        <v>0.686</v>
      </c>
      <c r="F2191" s="1">
        <v>14000</v>
      </c>
      <c r="G2191" s="1">
        <v>9604</v>
      </c>
      <c r="H2191" s="1">
        <v>5</v>
      </c>
      <c r="I2191" s="1">
        <v>4.62</v>
      </c>
      <c r="J2191" s="1">
        <v>0</v>
      </c>
      <c r="K2191" s="1">
        <v>0</v>
      </c>
      <c r="L2191" s="1">
        <v>0</v>
      </c>
      <c r="M2191" s="1">
        <v>0</v>
      </c>
      <c r="N2191" s="1">
        <v>-9609</v>
      </c>
      <c r="O2191" s="1">
        <v>-9262.35</v>
      </c>
      <c r="P2191" s="1">
        <v>98000</v>
      </c>
    </row>
    <row r="2192" spans="1:16">
      <c r="A2192" s="1" t="str">
        <f>"20220307"</f>
        <v>20220307</v>
      </c>
      <c r="B2192" s="1"/>
      <c r="C2192" s="1"/>
      <c r="D2192" s="1" t="str">
        <f t="shared" si="699"/>
        <v>融资借入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9609</v>
      </c>
      <c r="O2192" s="1">
        <v>346.65</v>
      </c>
      <c r="P2192" s="1">
        <v>0</v>
      </c>
    </row>
    <row r="2193" spans="1:16">
      <c r="A2193" s="1" t="str">
        <f>"20220308"</f>
        <v>20220308</v>
      </c>
      <c r="B2193" s="1" t="str">
        <f t="shared" ref="B2193:B2196" si="700">"000543"</f>
        <v>000543</v>
      </c>
      <c r="C2193" s="1" t="str">
        <f t="shared" ref="C2193:C2196" si="701">"皖能电力"</f>
        <v>皖能电力</v>
      </c>
      <c r="D2193" s="1" t="str">
        <f t="shared" si="698"/>
        <v>融资买入</v>
      </c>
      <c r="E2193" s="1">
        <v>4.14</v>
      </c>
      <c r="F2193" s="1">
        <v>3000</v>
      </c>
      <c r="G2193" s="1">
        <v>12420</v>
      </c>
      <c r="H2193" s="1">
        <v>5</v>
      </c>
      <c r="I2193" s="1">
        <v>3.9</v>
      </c>
      <c r="J2193" s="1">
        <v>0</v>
      </c>
      <c r="K2193" s="1">
        <v>0</v>
      </c>
      <c r="L2193" s="1">
        <v>0</v>
      </c>
      <c r="M2193" s="1">
        <v>0</v>
      </c>
      <c r="N2193" s="1">
        <v>-12425</v>
      </c>
      <c r="O2193" s="1">
        <v>-12078.35</v>
      </c>
      <c r="P2193" s="1">
        <v>30000</v>
      </c>
    </row>
    <row r="2194" spans="1:16">
      <c r="A2194" s="1" t="str">
        <f>"20220308"</f>
        <v>20220308</v>
      </c>
      <c r="B2194" s="1"/>
      <c r="C2194" s="1"/>
      <c r="D2194" s="1" t="str">
        <f t="shared" si="699"/>
        <v>融资借入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12425</v>
      </c>
      <c r="O2194" s="1">
        <v>346.65</v>
      </c>
      <c r="P2194" s="1">
        <v>0</v>
      </c>
    </row>
    <row r="2195" spans="1:16">
      <c r="A2195" s="1" t="str">
        <f t="shared" ref="A2195:A2202" si="702">"20220309"</f>
        <v>20220309</v>
      </c>
      <c r="B2195" s="1" t="str">
        <f t="shared" si="700"/>
        <v>000543</v>
      </c>
      <c r="C2195" s="1" t="str">
        <f t="shared" si="701"/>
        <v>皖能电力</v>
      </c>
      <c r="D2195" s="1" t="str">
        <f>"卖券还款"</f>
        <v>卖券还款</v>
      </c>
      <c r="E2195" s="1">
        <v>4.35</v>
      </c>
      <c r="F2195" s="1">
        <v>3000</v>
      </c>
      <c r="G2195" s="1">
        <v>13050</v>
      </c>
      <c r="H2195" s="1">
        <v>5</v>
      </c>
      <c r="I2195" s="1">
        <v>3.84</v>
      </c>
      <c r="J2195" s="1">
        <v>13.06</v>
      </c>
      <c r="K2195" s="1">
        <v>0</v>
      </c>
      <c r="L2195" s="1">
        <v>0</v>
      </c>
      <c r="M2195" s="1">
        <v>0</v>
      </c>
      <c r="N2195" s="1">
        <v>13031.94</v>
      </c>
      <c r="O2195" s="1">
        <v>13378.59</v>
      </c>
      <c r="P2195" s="1">
        <v>27000</v>
      </c>
    </row>
    <row r="2196" spans="1:16">
      <c r="A2196" s="1" t="str">
        <f t="shared" si="702"/>
        <v>20220309</v>
      </c>
      <c r="B2196" s="1" t="str">
        <f t="shared" si="700"/>
        <v>000543</v>
      </c>
      <c r="C2196" s="1" t="str">
        <f t="shared" si="701"/>
        <v>皖能电力</v>
      </c>
      <c r="D2196" s="1" t="str">
        <f>"融资买入"</f>
        <v>融资买入</v>
      </c>
      <c r="E2196" s="1">
        <v>4.13</v>
      </c>
      <c r="F2196" s="1">
        <v>3000</v>
      </c>
      <c r="G2196" s="1">
        <v>12390</v>
      </c>
      <c r="H2196" s="1">
        <v>5</v>
      </c>
      <c r="I2196" s="1">
        <v>3.9</v>
      </c>
      <c r="J2196" s="1">
        <v>0</v>
      </c>
      <c r="K2196" s="1">
        <v>0</v>
      </c>
      <c r="L2196" s="1">
        <v>0</v>
      </c>
      <c r="M2196" s="1">
        <v>0</v>
      </c>
      <c r="N2196" s="1">
        <v>-12395</v>
      </c>
      <c r="O2196" s="1">
        <v>983.59</v>
      </c>
      <c r="P2196" s="1">
        <v>30000</v>
      </c>
    </row>
    <row r="2197" spans="1:16">
      <c r="A2197" s="1" t="str">
        <f t="shared" si="702"/>
        <v>20220309</v>
      </c>
      <c r="B2197" s="1"/>
      <c r="C2197" s="1"/>
      <c r="D2197" s="1" t="str">
        <f>"融资借入"</f>
        <v>融资借入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12395</v>
      </c>
      <c r="O2197" s="1">
        <v>13378.59</v>
      </c>
      <c r="P2197" s="1">
        <v>0</v>
      </c>
    </row>
    <row r="2198" spans="1:16">
      <c r="A2198" s="1" t="str">
        <f t="shared" si="702"/>
        <v>20220309</v>
      </c>
      <c r="B2198" s="1"/>
      <c r="C2198" s="1"/>
      <c r="D2198" s="1" t="str">
        <f>"偿还融券费用"</f>
        <v>偿还融券费用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-15.05</v>
      </c>
      <c r="O2198" s="1">
        <v>13363.54</v>
      </c>
      <c r="P2198" s="1">
        <v>0</v>
      </c>
    </row>
    <row r="2199" spans="1:16">
      <c r="A2199" s="1" t="str">
        <f t="shared" si="702"/>
        <v>20220309</v>
      </c>
      <c r="B2199" s="1"/>
      <c r="C2199" s="1"/>
      <c r="D2199" s="1" t="str">
        <f>"偿还融资利息"</f>
        <v>偿还融资利息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-8.52</v>
      </c>
      <c r="O2199" s="1">
        <v>13355.02</v>
      </c>
      <c r="P2199" s="1">
        <v>0</v>
      </c>
    </row>
    <row r="2200" spans="1:16">
      <c r="A2200" s="1" t="str">
        <f t="shared" si="702"/>
        <v>20220309</v>
      </c>
      <c r="B2200" s="1"/>
      <c r="C2200" s="1"/>
      <c r="D2200" s="1" t="str">
        <f>"偿还融资负债本金"</f>
        <v>偿还融资负债本金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-3063.79</v>
      </c>
      <c r="O2200" s="1">
        <v>10291.23</v>
      </c>
      <c r="P2200" s="1">
        <v>0</v>
      </c>
    </row>
    <row r="2201" spans="1:16">
      <c r="A2201" s="1" t="str">
        <f t="shared" si="702"/>
        <v>20220309</v>
      </c>
      <c r="B2201" s="1"/>
      <c r="C2201" s="1"/>
      <c r="D2201" s="1" t="str">
        <f>"偿还融资利息"</f>
        <v>偿还融资利息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-111.11</v>
      </c>
      <c r="O2201" s="1">
        <v>10180.12</v>
      </c>
      <c r="P2201" s="1">
        <v>0</v>
      </c>
    </row>
    <row r="2202" spans="1:16">
      <c r="A2202" s="1" t="str">
        <f t="shared" si="702"/>
        <v>20220309</v>
      </c>
      <c r="B2202" s="1"/>
      <c r="C2202" s="1"/>
      <c r="D2202" s="1" t="str">
        <f>"偿还融资负债本金"</f>
        <v>偿还融资负债本金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-9799.33</v>
      </c>
      <c r="O2202" s="1">
        <v>380.79</v>
      </c>
      <c r="P2202" s="1">
        <v>0</v>
      </c>
    </row>
    <row r="2203" spans="1:16">
      <c r="A2203" s="1" t="str">
        <f t="shared" ref="A2203:A2208" si="703">"20220310"</f>
        <v>20220310</v>
      </c>
      <c r="B2203" s="1" t="str">
        <f>"000543"</f>
        <v>000543</v>
      </c>
      <c r="C2203" s="1" t="str">
        <f>"皖能电力"</f>
        <v>皖能电力</v>
      </c>
      <c r="D2203" s="1" t="str">
        <f>"卖券还款"</f>
        <v>卖券还款</v>
      </c>
      <c r="E2203" s="1">
        <v>4.34</v>
      </c>
      <c r="F2203" s="1">
        <v>3000</v>
      </c>
      <c r="G2203" s="1">
        <v>13020</v>
      </c>
      <c r="H2203" s="1">
        <v>5</v>
      </c>
      <c r="I2203" s="1">
        <v>3.85</v>
      </c>
      <c r="J2203" s="1">
        <v>13.02</v>
      </c>
      <c r="K2203" s="1">
        <v>0</v>
      </c>
      <c r="L2203" s="1">
        <v>0</v>
      </c>
      <c r="M2203" s="1">
        <v>0</v>
      </c>
      <c r="N2203" s="1">
        <v>13001.98</v>
      </c>
      <c r="O2203" s="1">
        <v>13382.77</v>
      </c>
      <c r="P2203" s="1">
        <v>27000</v>
      </c>
    </row>
    <row r="2204" spans="1:16">
      <c r="A2204" s="1" t="str">
        <f t="shared" si="703"/>
        <v>20220310</v>
      </c>
      <c r="B2204" s="1"/>
      <c r="C2204" s="1"/>
      <c r="D2204" s="1" t="str">
        <f>"偿还融券费用"</f>
        <v>偿还融券费用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-1.18</v>
      </c>
      <c r="O2204" s="1">
        <v>13381.59</v>
      </c>
      <c r="P2204" s="1">
        <v>0</v>
      </c>
    </row>
    <row r="2205" spans="1:16">
      <c r="A2205" s="1" t="str">
        <f t="shared" si="703"/>
        <v>20220310</v>
      </c>
      <c r="B2205" s="1"/>
      <c r="C2205" s="1"/>
      <c r="D2205" s="1" t="str">
        <f>"偿还融资利息"</f>
        <v>偿还融资利息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-0.21</v>
      </c>
      <c r="O2205" s="1">
        <v>13381.38</v>
      </c>
      <c r="P2205" s="1">
        <v>0</v>
      </c>
    </row>
    <row r="2206" spans="1:16">
      <c r="A2206" s="1" t="str">
        <f t="shared" si="703"/>
        <v>20220310</v>
      </c>
      <c r="B2206" s="1"/>
      <c r="C2206" s="1"/>
      <c r="D2206" s="1" t="str">
        <f>"偿还融资负债本金"</f>
        <v>偿还融资负债本金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-901.67</v>
      </c>
      <c r="O2206" s="1">
        <v>12479.71</v>
      </c>
      <c r="P2206" s="1">
        <v>0</v>
      </c>
    </row>
    <row r="2207" spans="1:16">
      <c r="A2207" s="1" t="str">
        <f t="shared" si="703"/>
        <v>20220310</v>
      </c>
      <c r="B2207" s="1"/>
      <c r="C2207" s="1"/>
      <c r="D2207" s="1" t="str">
        <f>"偿还融资利息"</f>
        <v>偿还融资利息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-133.78</v>
      </c>
      <c r="O2207" s="1">
        <v>12345.93</v>
      </c>
      <c r="P2207" s="1">
        <v>0</v>
      </c>
    </row>
    <row r="2208" spans="1:16">
      <c r="A2208" s="1" t="str">
        <f t="shared" si="703"/>
        <v>20220310</v>
      </c>
      <c r="B2208" s="1"/>
      <c r="C2208" s="1"/>
      <c r="D2208" s="1" t="str">
        <f>"偿还融资负债本金"</f>
        <v>偿还融资负债本金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-11931.08</v>
      </c>
      <c r="O2208" s="1">
        <v>414.85</v>
      </c>
      <c r="P2208" s="1">
        <v>0</v>
      </c>
    </row>
    <row r="2209" spans="1:16">
      <c r="A2209" s="1" t="str">
        <f t="shared" ref="A2209:A2212" si="704">"20220316"</f>
        <v>20220316</v>
      </c>
      <c r="B2209" s="1" t="str">
        <f>"000543"</f>
        <v>000543</v>
      </c>
      <c r="C2209" s="1" t="str">
        <f>"皖能电力"</f>
        <v>皖能电力</v>
      </c>
      <c r="D2209" s="1" t="str">
        <f>"融资买入"</f>
        <v>融资买入</v>
      </c>
      <c r="E2209" s="1">
        <v>3.9</v>
      </c>
      <c r="F2209" s="1">
        <v>1600</v>
      </c>
      <c r="G2209" s="1">
        <v>6240</v>
      </c>
      <c r="H2209" s="1">
        <v>5</v>
      </c>
      <c r="I2209" s="1">
        <v>4.44</v>
      </c>
      <c r="J2209" s="1">
        <v>0</v>
      </c>
      <c r="K2209" s="1">
        <v>0</v>
      </c>
      <c r="L2209" s="1">
        <v>0</v>
      </c>
      <c r="M2209" s="1">
        <v>0</v>
      </c>
      <c r="N2209" s="1">
        <v>-6245</v>
      </c>
      <c r="O2209" s="1">
        <v>-5830.15</v>
      </c>
      <c r="P2209" s="1">
        <v>28600</v>
      </c>
    </row>
    <row r="2210" spans="1:16">
      <c r="A2210" s="1" t="str">
        <f t="shared" si="704"/>
        <v>20220316</v>
      </c>
      <c r="B2210" s="1" t="str">
        <f>"510300"</f>
        <v>510300</v>
      </c>
      <c r="C2210" s="1" t="str">
        <f>"300ETF"</f>
        <v>300ETF</v>
      </c>
      <c r="D2210" s="1" t="str">
        <f>"买券还券"</f>
        <v>买券还券</v>
      </c>
      <c r="E2210" s="1">
        <v>4.006</v>
      </c>
      <c r="F2210" s="1">
        <v>100</v>
      </c>
      <c r="G2210" s="1">
        <v>400.6</v>
      </c>
      <c r="H2210" s="1">
        <v>5</v>
      </c>
      <c r="I2210" s="1">
        <v>4.98</v>
      </c>
      <c r="J2210" s="1">
        <v>0</v>
      </c>
      <c r="K2210" s="1">
        <v>0</v>
      </c>
      <c r="L2210" s="1">
        <v>0</v>
      </c>
      <c r="M2210" s="1">
        <v>0</v>
      </c>
      <c r="N2210" s="1">
        <v>-405.6</v>
      </c>
      <c r="O2210" s="1">
        <v>-6235.75</v>
      </c>
      <c r="P2210" s="1">
        <v>100</v>
      </c>
    </row>
    <row r="2211" spans="1:16">
      <c r="A2211" s="1" t="str">
        <f t="shared" si="704"/>
        <v>20220316</v>
      </c>
      <c r="B2211" s="1"/>
      <c r="C2211" s="1"/>
      <c r="D2211" s="1" t="str">
        <f>"融资借入"</f>
        <v>融资借入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6245</v>
      </c>
      <c r="O2211" s="1">
        <v>9.25</v>
      </c>
      <c r="P2211" s="1">
        <v>0</v>
      </c>
    </row>
    <row r="2212" spans="1:16">
      <c r="A2212" s="1" t="str">
        <f t="shared" si="704"/>
        <v>20220316</v>
      </c>
      <c r="B2212" s="1" t="str">
        <f>"510300"</f>
        <v>510300</v>
      </c>
      <c r="C2212" s="1" t="str">
        <f>"300ETF"</f>
        <v>300ETF</v>
      </c>
      <c r="D2212" s="1" t="str">
        <f>"偿还融券负债"</f>
        <v>偿还融券负债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</row>
    <row r="2213" spans="1:16">
      <c r="A2213" s="1" t="str">
        <f t="shared" ref="A2213:A2222" si="705">"20220317"</f>
        <v>20220317</v>
      </c>
      <c r="B2213" s="1" t="str">
        <f>"000543"</f>
        <v>000543</v>
      </c>
      <c r="C2213" s="1" t="str">
        <f>"皖能电力"</f>
        <v>皖能电力</v>
      </c>
      <c r="D2213" s="1" t="str">
        <f>"卖券还款"</f>
        <v>卖券还款</v>
      </c>
      <c r="E2213" s="1">
        <v>4.07</v>
      </c>
      <c r="F2213" s="1">
        <v>1600</v>
      </c>
      <c r="G2213" s="1">
        <v>6512</v>
      </c>
      <c r="H2213" s="1">
        <v>5</v>
      </c>
      <c r="I2213" s="1">
        <v>4.42</v>
      </c>
      <c r="J2213" s="1">
        <v>6.51</v>
      </c>
      <c r="K2213" s="1">
        <v>0</v>
      </c>
      <c r="L2213" s="1">
        <v>0</v>
      </c>
      <c r="M2213" s="1">
        <v>0</v>
      </c>
      <c r="N2213" s="1">
        <v>6500.49</v>
      </c>
      <c r="O2213" s="1">
        <v>6509.74</v>
      </c>
      <c r="P2213" s="1">
        <v>27000</v>
      </c>
    </row>
    <row r="2214" spans="1:16">
      <c r="A2214" s="1" t="str">
        <f t="shared" si="705"/>
        <v>20220317</v>
      </c>
      <c r="B2214" s="1" t="str">
        <f>"159781"</f>
        <v>159781</v>
      </c>
      <c r="C2214" s="1" t="str">
        <f>"科创创业"</f>
        <v>科创创业</v>
      </c>
      <c r="D2214" s="1" t="str">
        <f>"卖券还款"</f>
        <v>卖券还款</v>
      </c>
      <c r="E2214" s="1">
        <v>0.706</v>
      </c>
      <c r="F2214" s="1">
        <v>14000</v>
      </c>
      <c r="G2214" s="1">
        <v>9884</v>
      </c>
      <c r="H2214" s="1">
        <v>5</v>
      </c>
      <c r="I2214" s="1">
        <v>4.6</v>
      </c>
      <c r="J2214" s="1">
        <v>0</v>
      </c>
      <c r="K2214" s="1">
        <v>0</v>
      </c>
      <c r="L2214" s="1">
        <v>0</v>
      </c>
      <c r="M2214" s="1">
        <v>0</v>
      </c>
      <c r="N2214" s="1">
        <v>9879</v>
      </c>
      <c r="O2214" s="1">
        <v>16388.74</v>
      </c>
      <c r="P2214" s="1">
        <v>84000</v>
      </c>
    </row>
    <row r="2215" spans="1:16">
      <c r="A2215" s="1" t="str">
        <f t="shared" si="705"/>
        <v>20220317</v>
      </c>
      <c r="B2215" s="1"/>
      <c r="C2215" s="1"/>
      <c r="D2215" s="1" t="str">
        <f>"偿还融券费用"</f>
        <v>偿还融券费用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-8.12</v>
      </c>
      <c r="O2215" s="1">
        <v>16380.62</v>
      </c>
      <c r="P2215" s="1">
        <v>0</v>
      </c>
    </row>
    <row r="2216" spans="1:16">
      <c r="A2216" s="1" t="str">
        <f t="shared" si="705"/>
        <v>20220317</v>
      </c>
      <c r="B2216" s="1"/>
      <c r="C2216" s="1"/>
      <c r="D2216" s="1" t="str">
        <f t="shared" ref="D2216:D2221" si="706">"偿还融资利息"</f>
        <v>偿还融资利息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-1.9</v>
      </c>
      <c r="O2216" s="1">
        <v>16378.72</v>
      </c>
      <c r="P2216" s="1">
        <v>0</v>
      </c>
    </row>
    <row r="2217" spans="1:16">
      <c r="A2217" s="1" t="str">
        <f t="shared" si="705"/>
        <v>20220317</v>
      </c>
      <c r="B2217" s="1"/>
      <c r="C2217" s="1"/>
      <c r="D2217" s="1" t="str">
        <f t="shared" ref="D2217:D2220" si="707">"偿还融资负债本金"</f>
        <v>偿还融资负债本金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-1183.92</v>
      </c>
      <c r="O2217" s="1">
        <v>15194.8</v>
      </c>
      <c r="P2217" s="1">
        <v>0</v>
      </c>
    </row>
    <row r="2218" spans="1:16">
      <c r="A2218" s="1" t="str">
        <f t="shared" si="705"/>
        <v>20220317</v>
      </c>
      <c r="B2218" s="1"/>
      <c r="C2218" s="1"/>
      <c r="D2218" s="1" t="str">
        <f t="shared" si="706"/>
        <v>偿还融资利息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-147.38</v>
      </c>
      <c r="O2218" s="1">
        <v>15047.42</v>
      </c>
      <c r="P2218" s="1">
        <v>0</v>
      </c>
    </row>
    <row r="2219" spans="1:16">
      <c r="A2219" s="1" t="str">
        <f t="shared" si="705"/>
        <v>20220317</v>
      </c>
      <c r="B2219" s="1"/>
      <c r="C2219" s="1"/>
      <c r="D2219" s="1" t="str">
        <f t="shared" si="707"/>
        <v>偿还融资负债本金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-5144.63</v>
      </c>
      <c r="O2219" s="1">
        <v>9902.79</v>
      </c>
      <c r="P2219" s="1">
        <v>0</v>
      </c>
    </row>
    <row r="2220" spans="1:16">
      <c r="A2220" s="1" t="str">
        <f t="shared" si="705"/>
        <v>20220317</v>
      </c>
      <c r="B2220" s="1"/>
      <c r="C2220" s="1"/>
      <c r="D2220" s="1" t="str">
        <f t="shared" si="707"/>
        <v>偿还融资负债本金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-7310.37</v>
      </c>
      <c r="O2220" s="1">
        <v>2592.42</v>
      </c>
      <c r="P2220" s="1">
        <v>0</v>
      </c>
    </row>
    <row r="2221" spans="1:16">
      <c r="A2221" s="1" t="str">
        <f t="shared" si="705"/>
        <v>20220317</v>
      </c>
      <c r="B2221" s="1"/>
      <c r="C2221" s="1"/>
      <c r="D2221" s="1" t="str">
        <f t="shared" si="706"/>
        <v>偿还融资利息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-119.15</v>
      </c>
      <c r="O2221" s="1">
        <v>2473.27</v>
      </c>
      <c r="P2221" s="1">
        <v>0</v>
      </c>
    </row>
    <row r="2222" spans="1:16">
      <c r="A2222" s="1" t="str">
        <f t="shared" si="705"/>
        <v>20220317</v>
      </c>
      <c r="B2222" s="1"/>
      <c r="C2222" s="1"/>
      <c r="D2222" s="1" t="str">
        <f>"偿还融资负债本金"</f>
        <v>偿还融资负债本金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-2424.83</v>
      </c>
      <c r="O2222" s="1">
        <v>48.44</v>
      </c>
      <c r="P2222" s="1">
        <v>0</v>
      </c>
    </row>
    <row r="2223" spans="1:16">
      <c r="A2223" s="1" t="str">
        <f t="shared" ref="A2223:A2234" si="708">"20220318"</f>
        <v>20220318</v>
      </c>
      <c r="B2223" s="1"/>
      <c r="C2223" s="1"/>
      <c r="D2223" s="1" t="str">
        <f>"利息归本"</f>
        <v>利息归本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0.33</v>
      </c>
      <c r="O2223" s="1">
        <v>48.77</v>
      </c>
      <c r="P2223" s="1">
        <v>0</v>
      </c>
    </row>
    <row r="2224" spans="1:16">
      <c r="A2224" s="1" t="str">
        <f t="shared" si="708"/>
        <v>20220318</v>
      </c>
      <c r="B2224" s="1" t="str">
        <f>"000543"</f>
        <v>000543</v>
      </c>
      <c r="C2224" s="1" t="str">
        <f>"皖能电力"</f>
        <v>皖能电力</v>
      </c>
      <c r="D2224" s="1" t="str">
        <f>"融资买入"</f>
        <v>融资买入</v>
      </c>
      <c r="E2224" s="1">
        <v>3.99</v>
      </c>
      <c r="F2224" s="1">
        <v>3000</v>
      </c>
      <c r="G2224" s="1">
        <v>11970</v>
      </c>
      <c r="H2224" s="1">
        <v>5</v>
      </c>
      <c r="I2224" s="1">
        <v>3.94</v>
      </c>
      <c r="J2224" s="1">
        <v>0</v>
      </c>
      <c r="K2224" s="1">
        <v>0</v>
      </c>
      <c r="L2224" s="1">
        <v>0</v>
      </c>
      <c r="M2224" s="1">
        <v>0</v>
      </c>
      <c r="N2224" s="1">
        <v>-11975</v>
      </c>
      <c r="O2224" s="1">
        <v>-11926.23</v>
      </c>
      <c r="P2224" s="1">
        <v>30000</v>
      </c>
    </row>
    <row r="2225" spans="1:16">
      <c r="A2225" s="1" t="str">
        <f t="shared" si="708"/>
        <v>20220318</v>
      </c>
      <c r="B2225" s="1" t="str">
        <f>"000543"</f>
        <v>000543</v>
      </c>
      <c r="C2225" s="1" t="str">
        <f>"皖能电力"</f>
        <v>皖能电力</v>
      </c>
      <c r="D2225" s="1" t="str">
        <f>"卖券还款"</f>
        <v>卖券还款</v>
      </c>
      <c r="E2225" s="1">
        <v>4.2</v>
      </c>
      <c r="F2225" s="1">
        <v>3000</v>
      </c>
      <c r="G2225" s="1">
        <v>12600</v>
      </c>
      <c r="H2225" s="1">
        <v>5</v>
      </c>
      <c r="I2225" s="1">
        <v>3.86</v>
      </c>
      <c r="J2225" s="1">
        <v>12.6</v>
      </c>
      <c r="K2225" s="1">
        <v>0</v>
      </c>
      <c r="L2225" s="1">
        <v>0</v>
      </c>
      <c r="M2225" s="1">
        <v>0</v>
      </c>
      <c r="N2225" s="1">
        <v>12582.4</v>
      </c>
      <c r="O2225" s="1">
        <v>656.17</v>
      </c>
      <c r="P2225" s="1">
        <v>27000</v>
      </c>
    </row>
    <row r="2226" spans="1:16">
      <c r="A2226" s="1" t="str">
        <f t="shared" si="708"/>
        <v>20220318</v>
      </c>
      <c r="B2226" s="1"/>
      <c r="C2226" s="1"/>
      <c r="D2226" s="1" t="str">
        <f>"融资借入"</f>
        <v>融资借入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11975</v>
      </c>
      <c r="O2226" s="1">
        <v>12631.17</v>
      </c>
      <c r="P2226" s="1">
        <v>0</v>
      </c>
    </row>
    <row r="2227" spans="1:16">
      <c r="A2227" s="1" t="str">
        <f t="shared" si="708"/>
        <v>20220318</v>
      </c>
      <c r="B2227" s="1"/>
      <c r="C2227" s="1"/>
      <c r="D2227" s="1" t="str">
        <f>"偿还融券费用"</f>
        <v>偿还融券费用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-1.08</v>
      </c>
      <c r="O2227" s="1">
        <v>12630.09</v>
      </c>
      <c r="P2227" s="1">
        <v>0</v>
      </c>
    </row>
    <row r="2228" spans="1:16">
      <c r="A2228" s="1" t="str">
        <f t="shared" si="708"/>
        <v>20220318</v>
      </c>
      <c r="B2228" s="1"/>
      <c r="C2228" s="1"/>
      <c r="D2228" s="1" t="str">
        <f t="shared" ref="D2228:D2234" si="709">"偿还融资利息"</f>
        <v>偿还融资利息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-1.87</v>
      </c>
      <c r="O2228" s="1">
        <v>12628.22</v>
      </c>
      <c r="P2228" s="1">
        <v>0</v>
      </c>
    </row>
    <row r="2229" spans="1:16">
      <c r="A2229" s="1" t="str">
        <f t="shared" si="708"/>
        <v>20220318</v>
      </c>
      <c r="B2229" s="1"/>
      <c r="C2229" s="1"/>
      <c r="D2229" s="1" t="str">
        <f>"偿还融资负债本金"</f>
        <v>偿还融资负债本金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-8066.17</v>
      </c>
      <c r="O2229" s="1">
        <v>4562.05</v>
      </c>
      <c r="P2229" s="1">
        <v>0</v>
      </c>
    </row>
    <row r="2230" spans="1:16">
      <c r="A2230" s="1" t="str">
        <f t="shared" si="708"/>
        <v>20220318</v>
      </c>
      <c r="B2230" s="1"/>
      <c r="C2230" s="1"/>
      <c r="D2230" s="1" t="str">
        <f t="shared" si="709"/>
        <v>偿还融资利息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-119.09</v>
      </c>
      <c r="O2230" s="1">
        <v>4442.96</v>
      </c>
      <c r="P2230" s="1">
        <v>0</v>
      </c>
    </row>
    <row r="2231" spans="1:16">
      <c r="A2231" s="1" t="str">
        <f t="shared" si="708"/>
        <v>20220318</v>
      </c>
      <c r="B2231" s="1"/>
      <c r="C2231" s="1"/>
      <c r="D2231" s="1" t="str">
        <f>"偿还融资负债本金"</f>
        <v>偿还融资负债本金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-4361.39</v>
      </c>
      <c r="O2231" s="1">
        <v>81.57</v>
      </c>
      <c r="P2231" s="1">
        <v>0</v>
      </c>
    </row>
    <row r="2232" spans="1:16">
      <c r="A2232" s="1" t="str">
        <f t="shared" si="708"/>
        <v>20220318</v>
      </c>
      <c r="B2232" s="1"/>
      <c r="C2232" s="1"/>
      <c r="D2232" s="1" t="str">
        <f>"偿还融券费用"</f>
        <v>偿还融券费用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-1.09</v>
      </c>
      <c r="O2232" s="1">
        <v>80.48</v>
      </c>
      <c r="P2232" s="1">
        <v>0</v>
      </c>
    </row>
    <row r="2233" spans="1:16">
      <c r="A2233" s="1" t="str">
        <f t="shared" si="708"/>
        <v>20220318</v>
      </c>
      <c r="B2233" s="1"/>
      <c r="C2233" s="1"/>
      <c r="D2233" s="1" t="str">
        <f t="shared" si="709"/>
        <v>偿还融资利息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-1.37</v>
      </c>
      <c r="O2233" s="1">
        <v>79.11</v>
      </c>
      <c r="P2233" s="1">
        <v>0</v>
      </c>
    </row>
    <row r="2234" spans="1:16">
      <c r="A2234" s="1" t="str">
        <f t="shared" si="708"/>
        <v>20220318</v>
      </c>
      <c r="B2234" s="1"/>
      <c r="C2234" s="1"/>
      <c r="D2234" s="1" t="str">
        <f t="shared" si="709"/>
        <v>偿还融资利息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-79.11</v>
      </c>
      <c r="O2234" s="1">
        <v>0</v>
      </c>
      <c r="P2234" s="1">
        <v>0</v>
      </c>
    </row>
    <row r="2235" spans="1:16">
      <c r="A2235" s="1" t="str">
        <f>"20220328"</f>
        <v>20220328</v>
      </c>
      <c r="B2235" s="1" t="str">
        <f>"000543"</f>
        <v>000543</v>
      </c>
      <c r="C2235" s="1" t="str">
        <f>"皖能电力"</f>
        <v>皖能电力</v>
      </c>
      <c r="D2235" s="1" t="str">
        <f>"融资买入"</f>
        <v>融资买入</v>
      </c>
      <c r="E2235" s="1">
        <v>3.91</v>
      </c>
      <c r="F2235" s="1">
        <v>3000</v>
      </c>
      <c r="G2235" s="1">
        <v>11730</v>
      </c>
      <c r="H2235" s="1">
        <v>5</v>
      </c>
      <c r="I2235" s="1">
        <v>3.97</v>
      </c>
      <c r="J2235" s="1">
        <v>0</v>
      </c>
      <c r="K2235" s="1">
        <v>0</v>
      </c>
      <c r="L2235" s="1">
        <v>0</v>
      </c>
      <c r="M2235" s="1">
        <v>0</v>
      </c>
      <c r="N2235" s="1">
        <v>-11735</v>
      </c>
      <c r="O2235" s="1">
        <v>-11735</v>
      </c>
      <c r="P2235" s="1">
        <v>30000</v>
      </c>
    </row>
    <row r="2236" spans="1:16">
      <c r="A2236" s="1" t="str">
        <f>"20220328"</f>
        <v>20220328</v>
      </c>
      <c r="B2236" s="1"/>
      <c r="C2236" s="1"/>
      <c r="D2236" s="1" t="str">
        <f>"融资借入"</f>
        <v>融资借入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11735</v>
      </c>
      <c r="O2236" s="1">
        <v>0</v>
      </c>
      <c r="P2236" s="1">
        <v>0</v>
      </c>
    </row>
    <row r="2237" spans="1:16">
      <c r="A2237" s="1" t="str">
        <f>"20220329"</f>
        <v>20220329</v>
      </c>
      <c r="B2237" s="1" t="str">
        <f>"159781"</f>
        <v>159781</v>
      </c>
      <c r="C2237" s="1" t="str">
        <f>"科创创业"</f>
        <v>科创创业</v>
      </c>
      <c r="D2237" s="1" t="str">
        <f>"融资买入"</f>
        <v>融资买入</v>
      </c>
      <c r="E2237" s="1">
        <v>0.662</v>
      </c>
      <c r="F2237" s="1">
        <v>16400</v>
      </c>
      <c r="G2237" s="1">
        <v>10856.8</v>
      </c>
      <c r="H2237" s="1">
        <v>5</v>
      </c>
      <c r="I2237" s="1">
        <v>4.57</v>
      </c>
      <c r="J2237" s="1">
        <v>0</v>
      </c>
      <c r="K2237" s="1">
        <v>0</v>
      </c>
      <c r="L2237" s="1">
        <v>0</v>
      </c>
      <c r="M2237" s="1">
        <v>0</v>
      </c>
      <c r="N2237" s="1">
        <v>-10861.8</v>
      </c>
      <c r="O2237" s="1">
        <v>-10861.8</v>
      </c>
      <c r="P2237" s="1">
        <v>100400</v>
      </c>
    </row>
    <row r="2238" spans="1:16">
      <c r="A2238" s="1" t="str">
        <f>"20220329"</f>
        <v>20220329</v>
      </c>
      <c r="B2238" s="1"/>
      <c r="C2238" s="1"/>
      <c r="D2238" s="1" t="str">
        <f>"融资借入"</f>
        <v>融资借入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10861.8</v>
      </c>
      <c r="O2238" s="1">
        <v>0</v>
      </c>
      <c r="P2238" s="1">
        <v>0</v>
      </c>
    </row>
    <row r="2239" spans="1:16">
      <c r="A2239" s="1" t="str">
        <f t="shared" ref="A2239:A2244" si="710">"20220330"</f>
        <v>20220330</v>
      </c>
      <c r="B2239" s="1" t="str">
        <f>"159781"</f>
        <v>159781</v>
      </c>
      <c r="C2239" s="1" t="str">
        <f>"科创创业"</f>
        <v>科创创业</v>
      </c>
      <c r="D2239" s="1" t="str">
        <f>"卖券还款"</f>
        <v>卖券还款</v>
      </c>
      <c r="E2239" s="1">
        <v>0.678</v>
      </c>
      <c r="F2239" s="1">
        <v>16400</v>
      </c>
      <c r="G2239" s="1">
        <v>11119.2</v>
      </c>
      <c r="H2239" s="1">
        <v>5</v>
      </c>
      <c r="I2239" s="1">
        <v>4.56</v>
      </c>
      <c r="J2239" s="1">
        <v>0</v>
      </c>
      <c r="K2239" s="1">
        <v>0</v>
      </c>
      <c r="L2239" s="1">
        <v>0</v>
      </c>
      <c r="M2239" s="1">
        <v>0</v>
      </c>
      <c r="N2239" s="1">
        <v>11114.2</v>
      </c>
      <c r="O2239" s="1">
        <v>11114.2</v>
      </c>
      <c r="P2239" s="1">
        <v>84000</v>
      </c>
    </row>
    <row r="2240" spans="1:16">
      <c r="A2240" s="1" t="str">
        <f t="shared" si="710"/>
        <v>20220330</v>
      </c>
      <c r="B2240" s="1"/>
      <c r="C2240" s="1"/>
      <c r="D2240" s="1" t="str">
        <f>"偿还融券费用"</f>
        <v>偿还融券费用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-11.8</v>
      </c>
      <c r="O2240" s="1">
        <v>11102.4</v>
      </c>
      <c r="P2240" s="1">
        <v>0</v>
      </c>
    </row>
    <row r="2241" spans="1:16">
      <c r="A2241" s="1" t="str">
        <f t="shared" si="710"/>
        <v>20220330</v>
      </c>
      <c r="B2241" s="1"/>
      <c r="C2241" s="1"/>
      <c r="D2241" s="1" t="str">
        <f>"偿还融资利息"</f>
        <v>偿还融资利息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-15.09</v>
      </c>
      <c r="O2241" s="1">
        <v>11087.31</v>
      </c>
      <c r="P2241" s="1">
        <v>0</v>
      </c>
    </row>
    <row r="2242" spans="1:16">
      <c r="A2242" s="1" t="str">
        <f t="shared" si="710"/>
        <v>20220330</v>
      </c>
      <c r="B2242" s="1"/>
      <c r="C2242" s="1"/>
      <c r="D2242" s="1" t="str">
        <f>"偿还融资负债本金"</f>
        <v>偿还融资负债本金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-5919.61</v>
      </c>
      <c r="O2242" s="1">
        <v>5167.7</v>
      </c>
      <c r="P2242" s="1">
        <v>0</v>
      </c>
    </row>
    <row r="2243" spans="1:16">
      <c r="A2243" s="1" t="str">
        <f t="shared" si="710"/>
        <v>20220330</v>
      </c>
      <c r="B2243" s="1"/>
      <c r="C2243" s="1"/>
      <c r="D2243" s="1" t="str">
        <f>"偿还融资利息"</f>
        <v>偿还融资利息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-42.34</v>
      </c>
      <c r="O2243" s="1">
        <v>5125.36</v>
      </c>
      <c r="P2243" s="1">
        <v>0</v>
      </c>
    </row>
    <row r="2244" spans="1:16">
      <c r="A2244" s="1" t="str">
        <f t="shared" si="710"/>
        <v>20220330</v>
      </c>
      <c r="B2244" s="1"/>
      <c r="C2244" s="1"/>
      <c r="D2244" s="1" t="str">
        <f>"偿还融资负债本金"</f>
        <v>偿还融资负债本金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-5096.9</v>
      </c>
      <c r="O2244" s="1">
        <v>28.46</v>
      </c>
      <c r="P2244" s="1">
        <v>0</v>
      </c>
    </row>
    <row r="2245" spans="1:16">
      <c r="A2245" s="1" t="str">
        <f>"20220406"</f>
        <v>20220406</v>
      </c>
      <c r="B2245" s="1" t="str">
        <f>"159781"</f>
        <v>159781</v>
      </c>
      <c r="C2245" s="1" t="str">
        <f>"科创创业"</f>
        <v>科创创业</v>
      </c>
      <c r="D2245" s="1" t="str">
        <f>"融资买入"</f>
        <v>融资买入</v>
      </c>
      <c r="E2245" s="1">
        <v>0.655</v>
      </c>
      <c r="F2245" s="1">
        <v>16000</v>
      </c>
      <c r="G2245" s="1">
        <v>10480</v>
      </c>
      <c r="H2245" s="1">
        <v>5</v>
      </c>
      <c r="I2245" s="1">
        <v>4.58</v>
      </c>
      <c r="J2245" s="1">
        <v>0</v>
      </c>
      <c r="K2245" s="1">
        <v>0</v>
      </c>
      <c r="L2245" s="1">
        <v>0</v>
      </c>
      <c r="M2245" s="1">
        <v>0</v>
      </c>
      <c r="N2245" s="1">
        <v>-10485</v>
      </c>
      <c r="O2245" s="1">
        <v>-10456.54</v>
      </c>
      <c r="P2245" s="1">
        <v>100000</v>
      </c>
    </row>
    <row r="2246" spans="1:16">
      <c r="A2246" s="1" t="str">
        <f>"20220406"</f>
        <v>20220406</v>
      </c>
      <c r="B2246" s="1"/>
      <c r="C2246" s="1"/>
      <c r="D2246" s="1" t="str">
        <f>"融资借入"</f>
        <v>融资借入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10485</v>
      </c>
      <c r="O2246" s="1">
        <v>28.46</v>
      </c>
      <c r="P2246" s="1">
        <v>0</v>
      </c>
    </row>
    <row r="2247" spans="1:16">
      <c r="A2247" s="1" t="str">
        <f>"20220420"</f>
        <v>20220420</v>
      </c>
      <c r="B2247" s="1"/>
      <c r="C2247" s="1"/>
      <c r="D2247" s="1" t="str">
        <f>"偿还融券费用"</f>
        <v>偿还融券费用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-23.6</v>
      </c>
      <c r="O2247" s="1">
        <v>4.86</v>
      </c>
      <c r="P2247" s="1">
        <v>0</v>
      </c>
    </row>
    <row r="2248" spans="1:16">
      <c r="A2248" s="1" t="str">
        <f>"20220420"</f>
        <v>20220420</v>
      </c>
      <c r="B2248" s="1"/>
      <c r="C2248" s="1"/>
      <c r="D2248" s="1" t="str">
        <f t="shared" ref="D2248:D2253" si="711">"偿还融资利息"</f>
        <v>偿还融资利息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-4.86</v>
      </c>
      <c r="O2248" s="1">
        <v>0</v>
      </c>
      <c r="P2248" s="1">
        <v>0</v>
      </c>
    </row>
    <row r="2249" spans="1:16">
      <c r="A2249" s="1" t="str">
        <f t="shared" ref="A2249:A2254" si="712">"20220526"</f>
        <v>20220526</v>
      </c>
      <c r="B2249" s="1" t="str">
        <f>"000543"</f>
        <v>000543</v>
      </c>
      <c r="C2249" s="1" t="str">
        <f>"皖能电力"</f>
        <v>皖能电力</v>
      </c>
      <c r="D2249" s="1" t="str">
        <f>"卖券还款"</f>
        <v>卖券还款</v>
      </c>
      <c r="E2249" s="1">
        <v>4.11</v>
      </c>
      <c r="F2249" s="1">
        <v>3000</v>
      </c>
      <c r="G2249" s="1">
        <v>12330</v>
      </c>
      <c r="H2249" s="1">
        <v>5</v>
      </c>
      <c r="I2249" s="1">
        <v>4.03</v>
      </c>
      <c r="J2249" s="1">
        <v>12.33</v>
      </c>
      <c r="K2249" s="1">
        <v>0</v>
      </c>
      <c r="L2249" s="1">
        <v>0</v>
      </c>
      <c r="M2249" s="1">
        <v>0</v>
      </c>
      <c r="N2249" s="1">
        <v>12312.67</v>
      </c>
      <c r="O2249" s="1">
        <v>12312.67</v>
      </c>
      <c r="P2249" s="1">
        <v>27000</v>
      </c>
    </row>
    <row r="2250" spans="1:16">
      <c r="A2250" s="1" t="str">
        <f t="shared" si="712"/>
        <v>20220526</v>
      </c>
      <c r="B2250" s="1"/>
      <c r="C2250" s="1"/>
      <c r="D2250" s="1" t="str">
        <f>"偿还融券费用"</f>
        <v>偿还融券费用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-35.47</v>
      </c>
      <c r="O2250" s="1">
        <v>12277.2</v>
      </c>
      <c r="P2250" s="1">
        <v>0</v>
      </c>
    </row>
    <row r="2251" spans="1:16">
      <c r="A2251" s="1" t="str">
        <f t="shared" si="712"/>
        <v>20220526</v>
      </c>
      <c r="B2251" s="1"/>
      <c r="C2251" s="1"/>
      <c r="D2251" s="1" t="str">
        <f t="shared" si="711"/>
        <v>偿还融资利息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-63.56</v>
      </c>
      <c r="O2251" s="1">
        <v>12213.64</v>
      </c>
      <c r="P2251" s="1">
        <v>0</v>
      </c>
    </row>
    <row r="2252" spans="1:16">
      <c r="A2252" s="1" t="str">
        <f t="shared" si="712"/>
        <v>20220526</v>
      </c>
      <c r="B2252" s="1"/>
      <c r="C2252" s="1"/>
      <c r="D2252" s="1" t="str">
        <f>"偿还融资负债本金"</f>
        <v>偿还融资负债本金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-5184.1</v>
      </c>
      <c r="O2252" s="1">
        <v>7029.54</v>
      </c>
      <c r="P2252" s="1">
        <v>0</v>
      </c>
    </row>
    <row r="2253" spans="1:16">
      <c r="A2253" s="1" t="str">
        <f t="shared" si="712"/>
        <v>20220526</v>
      </c>
      <c r="B2253" s="1"/>
      <c r="C2253" s="1"/>
      <c r="D2253" s="1" t="str">
        <f t="shared" si="711"/>
        <v>偿还融资利息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-250.21</v>
      </c>
      <c r="O2253" s="1">
        <v>6779.33</v>
      </c>
      <c r="P2253" s="1">
        <v>0</v>
      </c>
    </row>
    <row r="2254" spans="1:16">
      <c r="A2254" s="1" t="str">
        <f t="shared" si="712"/>
        <v>20220526</v>
      </c>
      <c r="B2254" s="1"/>
      <c r="C2254" s="1"/>
      <c r="D2254" s="1" t="str">
        <f>"偿还融资负债本金"</f>
        <v>偿还融资负债本金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-6747.24</v>
      </c>
      <c r="O2254" s="1">
        <v>32.09</v>
      </c>
      <c r="P2254" s="1">
        <v>0</v>
      </c>
    </row>
    <row r="2255" spans="1:16">
      <c r="A2255" s="1" t="str">
        <f>"20220530"</f>
        <v>20220530</v>
      </c>
      <c r="B2255" s="1" t="str">
        <f>"159781"</f>
        <v>159781</v>
      </c>
      <c r="C2255" s="1" t="str">
        <f>"科创创业"</f>
        <v>科创创业</v>
      </c>
      <c r="D2255" s="1" t="str">
        <f>"融资买入"</f>
        <v>融资买入</v>
      </c>
      <c r="E2255" s="1">
        <v>0.59</v>
      </c>
      <c r="F2255" s="1">
        <v>24300</v>
      </c>
      <c r="G2255" s="1">
        <v>14337</v>
      </c>
      <c r="H2255" s="1">
        <v>5</v>
      </c>
      <c r="I2255" s="1">
        <v>4.43</v>
      </c>
      <c r="J2255" s="1">
        <v>0</v>
      </c>
      <c r="K2255" s="1">
        <v>0</v>
      </c>
      <c r="L2255" s="1">
        <v>0</v>
      </c>
      <c r="M2255" s="1">
        <v>0</v>
      </c>
      <c r="N2255" s="1">
        <v>-14342</v>
      </c>
      <c r="O2255" s="1">
        <v>-14309.91</v>
      </c>
      <c r="P2255" s="1">
        <v>124300</v>
      </c>
    </row>
    <row r="2256" spans="1:16">
      <c r="A2256" s="1" t="str">
        <f>"20220530"</f>
        <v>20220530</v>
      </c>
      <c r="B2256" s="1"/>
      <c r="C2256" s="1"/>
      <c r="D2256" s="1" t="str">
        <f>"融资借入"</f>
        <v>融资借入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14342</v>
      </c>
      <c r="O2256" s="1">
        <v>32.09</v>
      </c>
      <c r="P2256" s="1">
        <v>0</v>
      </c>
    </row>
    <row r="2257" spans="1:16">
      <c r="A2257" s="1" t="str">
        <f t="shared" ref="A2257:A2263" si="713">"20220601"</f>
        <v>20220601</v>
      </c>
      <c r="B2257" s="1" t="str">
        <f>"159781"</f>
        <v>159781</v>
      </c>
      <c r="C2257" s="1" t="str">
        <f>"科创创业"</f>
        <v>科创创业</v>
      </c>
      <c r="D2257" s="1" t="str">
        <f>"卖券还款"</f>
        <v>卖券还款</v>
      </c>
      <c r="E2257" s="1">
        <v>0.612</v>
      </c>
      <c r="F2257" s="1">
        <v>24300</v>
      </c>
      <c r="G2257" s="1">
        <v>14871.6</v>
      </c>
      <c r="H2257" s="1">
        <v>5</v>
      </c>
      <c r="I2257" s="1">
        <v>4.41</v>
      </c>
      <c r="J2257" s="1">
        <v>0</v>
      </c>
      <c r="K2257" s="1">
        <v>0</v>
      </c>
      <c r="L2257" s="1">
        <v>0</v>
      </c>
      <c r="M2257" s="1">
        <v>0</v>
      </c>
      <c r="N2257" s="1">
        <v>14866.6</v>
      </c>
      <c r="O2257" s="1">
        <v>14898.69</v>
      </c>
      <c r="P2257" s="1">
        <v>100000</v>
      </c>
    </row>
    <row r="2258" spans="1:16">
      <c r="A2258" s="1" t="str">
        <f t="shared" si="713"/>
        <v>20220601</v>
      </c>
      <c r="B2258" s="1"/>
      <c r="C2258" s="1"/>
      <c r="D2258" s="1" t="str">
        <f t="shared" ref="D2258:D2262" si="714">"偿还融资利息"</f>
        <v>偿还融资利息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-4.62</v>
      </c>
      <c r="O2258" s="1">
        <v>14894.07</v>
      </c>
      <c r="P2258" s="1">
        <v>0</v>
      </c>
    </row>
    <row r="2259" spans="1:16">
      <c r="A2259" s="1" t="str">
        <f t="shared" si="713"/>
        <v>20220601</v>
      </c>
      <c r="B2259" s="1"/>
      <c r="C2259" s="1"/>
      <c r="D2259" s="1" t="str">
        <f t="shared" ref="D2259:D2263" si="715">"偿还融资负债本金"</f>
        <v>偿还融资负债本金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-3323.76</v>
      </c>
      <c r="O2259" s="1">
        <v>11570.31</v>
      </c>
      <c r="P2259" s="1">
        <v>0</v>
      </c>
    </row>
    <row r="2260" spans="1:16">
      <c r="A2260" s="1" t="str">
        <f t="shared" si="713"/>
        <v>20220601</v>
      </c>
      <c r="B2260" s="1"/>
      <c r="C2260" s="1"/>
      <c r="D2260" s="1" t="str">
        <f t="shared" si="714"/>
        <v>偿还融资利息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-247.68</v>
      </c>
      <c r="O2260" s="1">
        <v>11322.63</v>
      </c>
      <c r="P2260" s="1">
        <v>0</v>
      </c>
    </row>
    <row r="2261" spans="1:16">
      <c r="A2261" s="1" t="str">
        <f t="shared" si="713"/>
        <v>20220601</v>
      </c>
      <c r="B2261" s="1"/>
      <c r="C2261" s="1"/>
      <c r="D2261" s="1" t="str">
        <f t="shared" si="715"/>
        <v>偿还融资负债本金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-9721</v>
      </c>
      <c r="O2261" s="1">
        <v>1601.63</v>
      </c>
      <c r="P2261" s="1">
        <v>0</v>
      </c>
    </row>
    <row r="2262" spans="1:16">
      <c r="A2262" s="1" t="str">
        <f t="shared" si="713"/>
        <v>20220601</v>
      </c>
      <c r="B2262" s="1"/>
      <c r="C2262" s="1"/>
      <c r="D2262" s="1" t="str">
        <f t="shared" si="714"/>
        <v>偿还融资利息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-301.75</v>
      </c>
      <c r="O2262" s="1">
        <v>1299.88</v>
      </c>
      <c r="P2262" s="1">
        <v>0</v>
      </c>
    </row>
    <row r="2263" spans="1:16">
      <c r="A2263" s="1" t="str">
        <f t="shared" si="713"/>
        <v>20220601</v>
      </c>
      <c r="B2263" s="1"/>
      <c r="C2263" s="1"/>
      <c r="D2263" s="1" t="str">
        <f t="shared" si="715"/>
        <v>偿还融资负债本金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-1228.18</v>
      </c>
      <c r="O2263" s="1">
        <v>71.7</v>
      </c>
      <c r="P2263" s="1">
        <v>0</v>
      </c>
    </row>
    <row r="2264" spans="1:16">
      <c r="A2264" s="1" t="str">
        <f t="shared" ref="A2264:A2268" si="716">"20220608"</f>
        <v>20220608</v>
      </c>
      <c r="B2264" s="1" t="str">
        <f>"000543"</f>
        <v>000543</v>
      </c>
      <c r="C2264" s="1" t="str">
        <f>"皖能电力"</f>
        <v>皖能电力</v>
      </c>
      <c r="D2264" s="1" t="str">
        <f>"卖券还款"</f>
        <v>卖券还款</v>
      </c>
      <c r="E2264" s="1">
        <v>4.42</v>
      </c>
      <c r="F2264" s="1">
        <v>3000</v>
      </c>
      <c r="G2264" s="1">
        <v>13260</v>
      </c>
      <c r="H2264" s="1">
        <v>5</v>
      </c>
      <c r="I2264" s="1">
        <v>3.95</v>
      </c>
      <c r="J2264" s="1">
        <v>13.26</v>
      </c>
      <c r="K2264" s="1">
        <v>0</v>
      </c>
      <c r="L2264" s="1">
        <v>0</v>
      </c>
      <c r="M2264" s="1">
        <v>0</v>
      </c>
      <c r="N2264" s="1">
        <v>13241.74</v>
      </c>
      <c r="O2264" s="1">
        <v>13313.44</v>
      </c>
      <c r="P2264" s="1">
        <v>24000</v>
      </c>
    </row>
    <row r="2265" spans="1:16">
      <c r="A2265" s="1" t="str">
        <f t="shared" si="716"/>
        <v>20220608</v>
      </c>
      <c r="B2265" s="1"/>
      <c r="C2265" s="1"/>
      <c r="D2265" s="1" t="str">
        <f t="shared" ref="D2265:D2270" si="717">"偿还融资利息"</f>
        <v>偿还融资利息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-18.33</v>
      </c>
      <c r="O2265" s="1">
        <v>13295.11</v>
      </c>
      <c r="P2265" s="1">
        <v>0</v>
      </c>
    </row>
    <row r="2266" spans="1:16">
      <c r="A2266" s="1" t="str">
        <f t="shared" si="716"/>
        <v>20220608</v>
      </c>
      <c r="B2266" s="1"/>
      <c r="C2266" s="1"/>
      <c r="D2266" s="1" t="str">
        <f t="shared" ref="D2266:D2271" si="718">"偿还融资负债本金"</f>
        <v>偿还融资负债本金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-11286.82</v>
      </c>
      <c r="O2266" s="1">
        <v>2008.29</v>
      </c>
      <c r="P2266" s="1">
        <v>0</v>
      </c>
    </row>
    <row r="2267" spans="1:16">
      <c r="A2267" s="1" t="str">
        <f t="shared" si="716"/>
        <v>20220608</v>
      </c>
      <c r="B2267" s="1"/>
      <c r="C2267" s="1"/>
      <c r="D2267" s="1" t="str">
        <f t="shared" si="717"/>
        <v>偿还融资利息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-228.48</v>
      </c>
      <c r="O2267" s="1">
        <v>1779.81</v>
      </c>
      <c r="P2267" s="1">
        <v>0</v>
      </c>
    </row>
    <row r="2268" spans="1:16">
      <c r="A2268" s="1" t="str">
        <f t="shared" si="716"/>
        <v>20220608</v>
      </c>
      <c r="B2268" s="1"/>
      <c r="C2268" s="1"/>
      <c r="D2268" s="1" t="str">
        <f t="shared" si="718"/>
        <v>偿还融资负债本金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-1673.33</v>
      </c>
      <c r="O2268" s="1">
        <v>106.48</v>
      </c>
      <c r="P2268" s="1">
        <v>0</v>
      </c>
    </row>
    <row r="2269" spans="1:16">
      <c r="A2269" s="1" t="str">
        <f>"20220609"</f>
        <v>20220609</v>
      </c>
      <c r="B2269" s="1" t="str">
        <f>"600028"</f>
        <v>600028</v>
      </c>
      <c r="C2269" s="1" t="str">
        <f>"中国石化"</f>
        <v>中国石化</v>
      </c>
      <c r="D2269" s="1" t="str">
        <f>"红利入账"</f>
        <v>红利入账</v>
      </c>
      <c r="E2269" s="1">
        <v>0</v>
      </c>
      <c r="F2269" s="1">
        <v>10700</v>
      </c>
      <c r="G2269" s="1">
        <v>3317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3317</v>
      </c>
      <c r="O2269" s="1">
        <v>3423.48</v>
      </c>
      <c r="P2269" s="1">
        <v>0</v>
      </c>
    </row>
    <row r="2270" spans="1:16">
      <c r="A2270" s="1" t="str">
        <f>"20220610"</f>
        <v>20220610</v>
      </c>
      <c r="B2270" s="1"/>
      <c r="C2270" s="1"/>
      <c r="D2270" s="1" t="str">
        <f t="shared" si="717"/>
        <v>偿还融资利息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-3.88</v>
      </c>
      <c r="O2270" s="1">
        <v>3419.6</v>
      </c>
      <c r="P2270" s="1">
        <v>0</v>
      </c>
    </row>
    <row r="2271" spans="1:16">
      <c r="A2271" s="1" t="str">
        <f>"20220610"</f>
        <v>20220610</v>
      </c>
      <c r="B2271" s="1"/>
      <c r="C2271" s="1"/>
      <c r="D2271" s="1" t="str">
        <f t="shared" si="718"/>
        <v>偿还融资负债本金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-3396.12</v>
      </c>
      <c r="O2271" s="1">
        <v>23.48</v>
      </c>
      <c r="P2271" s="1">
        <v>0</v>
      </c>
    </row>
    <row r="2272" spans="1:16">
      <c r="A2272" s="1" t="str">
        <f>"20220613"</f>
        <v>20220613</v>
      </c>
      <c r="B2272" s="1" t="str">
        <f>"000543"</f>
        <v>000543</v>
      </c>
      <c r="C2272" s="1" t="str">
        <f>"皖能电力"</f>
        <v>皖能电力</v>
      </c>
      <c r="D2272" s="1" t="str">
        <f>"融资买入"</f>
        <v>融资买入</v>
      </c>
      <c r="E2272" s="1">
        <v>4.09</v>
      </c>
      <c r="F2272" s="1">
        <v>3000</v>
      </c>
      <c r="G2272" s="1">
        <v>12270</v>
      </c>
      <c r="H2272" s="1">
        <v>5</v>
      </c>
      <c r="I2272" s="1">
        <v>4.03</v>
      </c>
      <c r="J2272" s="1">
        <v>0</v>
      </c>
      <c r="K2272" s="1">
        <v>0</v>
      </c>
      <c r="L2272" s="1">
        <v>0</v>
      </c>
      <c r="M2272" s="1">
        <v>0</v>
      </c>
      <c r="N2272" s="1">
        <v>-12275</v>
      </c>
      <c r="O2272" s="1">
        <v>-12251.52</v>
      </c>
      <c r="P2272" s="1">
        <v>27000</v>
      </c>
    </row>
    <row r="2273" spans="1:16">
      <c r="A2273" s="1" t="str">
        <f>"20220613"</f>
        <v>20220613</v>
      </c>
      <c r="B2273" s="1"/>
      <c r="C2273" s="1"/>
      <c r="D2273" s="1" t="str">
        <f>"融资借入"</f>
        <v>融资借入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12275</v>
      </c>
      <c r="O2273" s="1">
        <v>23.48</v>
      </c>
      <c r="P2273" s="1">
        <v>0</v>
      </c>
    </row>
    <row r="2274" spans="1:16">
      <c r="A2274" s="1" t="str">
        <f t="shared" ref="A2274:A2276" si="719">"20220620"</f>
        <v>20220620</v>
      </c>
      <c r="B2274" s="1"/>
      <c r="C2274" s="1"/>
      <c r="D2274" s="1" t="str">
        <f>"利息归本"</f>
        <v>利息归本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0.12</v>
      </c>
      <c r="O2274" s="1">
        <v>23.6</v>
      </c>
      <c r="P2274" s="1">
        <v>0</v>
      </c>
    </row>
    <row r="2275" spans="1:16">
      <c r="A2275" s="1" t="str">
        <f t="shared" si="719"/>
        <v>20220620</v>
      </c>
      <c r="B2275" s="1"/>
      <c r="C2275" s="1"/>
      <c r="D2275" s="1" t="str">
        <f t="shared" ref="D2275:D2279" si="720">"偿还融资利息"</f>
        <v>偿还融资利息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-12.74</v>
      </c>
      <c r="O2275" s="1">
        <v>10.86</v>
      </c>
      <c r="P2275" s="1">
        <v>0</v>
      </c>
    </row>
    <row r="2276" spans="1:16">
      <c r="A2276" s="1" t="str">
        <f t="shared" si="719"/>
        <v>20220620</v>
      </c>
      <c r="B2276" s="1"/>
      <c r="C2276" s="1"/>
      <c r="D2276" s="1" t="str">
        <f t="shared" si="720"/>
        <v>偿还融资利息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-10.86</v>
      </c>
      <c r="O2276" s="1">
        <v>0</v>
      </c>
      <c r="P2276" s="1">
        <v>0</v>
      </c>
    </row>
    <row r="2277" spans="1:16">
      <c r="A2277" s="1" t="str">
        <f t="shared" ref="A2277:A2280" si="721">"20220621"</f>
        <v>20220621</v>
      </c>
      <c r="B2277" s="1" t="str">
        <f>"000543"</f>
        <v>000543</v>
      </c>
      <c r="C2277" s="1" t="str">
        <f>"皖能电力"</f>
        <v>皖能电力</v>
      </c>
      <c r="D2277" s="1" t="str">
        <f>"卖券还款"</f>
        <v>卖券还款</v>
      </c>
      <c r="E2277" s="1">
        <v>4.29</v>
      </c>
      <c r="F2277" s="1">
        <v>3000</v>
      </c>
      <c r="G2277" s="1">
        <v>12870</v>
      </c>
      <c r="H2277" s="1">
        <v>5</v>
      </c>
      <c r="I2277" s="1">
        <v>3.99</v>
      </c>
      <c r="J2277" s="1">
        <v>12.87</v>
      </c>
      <c r="K2277" s="1">
        <v>0</v>
      </c>
      <c r="L2277" s="1">
        <v>0</v>
      </c>
      <c r="M2277" s="1">
        <v>0</v>
      </c>
      <c r="N2277" s="1">
        <v>12852.13</v>
      </c>
      <c r="O2277" s="1">
        <v>12852.13</v>
      </c>
      <c r="P2277" s="1">
        <v>24000</v>
      </c>
    </row>
    <row r="2278" spans="1:16">
      <c r="A2278" s="1" t="str">
        <f t="shared" si="721"/>
        <v>20220621</v>
      </c>
      <c r="B2278" s="1"/>
      <c r="C2278" s="1"/>
      <c r="D2278" s="1" t="str">
        <f>"偿还融资负债本金"</f>
        <v>偿还融资负债本金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-4987.55</v>
      </c>
      <c r="O2278" s="1">
        <v>7864.58</v>
      </c>
      <c r="P2278" s="1">
        <v>0</v>
      </c>
    </row>
    <row r="2279" spans="1:16">
      <c r="A2279" s="1" t="str">
        <f t="shared" si="721"/>
        <v>20220621</v>
      </c>
      <c r="B2279" s="1"/>
      <c r="C2279" s="1"/>
      <c r="D2279" s="1" t="str">
        <f t="shared" si="720"/>
        <v>偿还融资利息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-225.51</v>
      </c>
      <c r="O2279" s="1">
        <v>7639.07</v>
      </c>
      <c r="P2279" s="1">
        <v>0</v>
      </c>
    </row>
    <row r="2280" spans="1:16">
      <c r="A2280" s="1" t="str">
        <f t="shared" si="721"/>
        <v>20220621</v>
      </c>
      <c r="B2280" s="1"/>
      <c r="C2280" s="1"/>
      <c r="D2280" s="1" t="str">
        <f>"偿还融资负债本金"</f>
        <v>偿还融资负债本金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-7605.36</v>
      </c>
      <c r="O2280" s="1">
        <v>33.71</v>
      </c>
      <c r="P2280" s="1">
        <v>0</v>
      </c>
    </row>
    <row r="2281" spans="1:16">
      <c r="A2281" s="1" t="str">
        <f t="shared" ref="A2281:A2283" si="722">"20220623"</f>
        <v>20220623</v>
      </c>
      <c r="B2281" s="1" t="str">
        <f>"002183"</f>
        <v>002183</v>
      </c>
      <c r="C2281" s="1" t="str">
        <f>"怡 亚 通"</f>
        <v>怡 亚 通</v>
      </c>
      <c r="D2281" s="1" t="str">
        <f>"红利入账"</f>
        <v>红利入账</v>
      </c>
      <c r="E2281" s="1">
        <v>0</v>
      </c>
      <c r="F2281" s="1">
        <v>0</v>
      </c>
      <c r="G2281" s="1">
        <v>400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400</v>
      </c>
      <c r="O2281" s="1">
        <v>433.71</v>
      </c>
      <c r="P2281" s="1">
        <v>0</v>
      </c>
    </row>
    <row r="2282" spans="1:16">
      <c r="A2282" s="1" t="str">
        <f t="shared" si="722"/>
        <v>20220623</v>
      </c>
      <c r="B2282" s="1" t="str">
        <f>"000543"</f>
        <v>000543</v>
      </c>
      <c r="C2282" s="1" t="str">
        <f>"皖能电力"</f>
        <v>皖能电力</v>
      </c>
      <c r="D2282" s="1" t="str">
        <f>"融资买入"</f>
        <v>融资买入</v>
      </c>
      <c r="E2282" s="1">
        <v>4.08</v>
      </c>
      <c r="F2282" s="1">
        <v>3000</v>
      </c>
      <c r="G2282" s="1">
        <v>12240</v>
      </c>
      <c r="H2282" s="1">
        <v>5</v>
      </c>
      <c r="I2282" s="1">
        <v>4.04</v>
      </c>
      <c r="J2282" s="1">
        <v>0</v>
      </c>
      <c r="K2282" s="1">
        <v>0</v>
      </c>
      <c r="L2282" s="1">
        <v>0</v>
      </c>
      <c r="M2282" s="1">
        <v>0</v>
      </c>
      <c r="N2282" s="1">
        <v>-12245</v>
      </c>
      <c r="O2282" s="1">
        <v>-11811.29</v>
      </c>
      <c r="P2282" s="1">
        <v>27000</v>
      </c>
    </row>
    <row r="2283" spans="1:16">
      <c r="A2283" s="1" t="str">
        <f t="shared" si="722"/>
        <v>20220623</v>
      </c>
      <c r="B2283" s="1"/>
      <c r="C2283" s="1"/>
      <c r="D2283" s="1" t="str">
        <f>"融资借入"</f>
        <v>融资借入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12245</v>
      </c>
      <c r="O2283" s="1">
        <v>433.71</v>
      </c>
      <c r="P2283" s="1">
        <v>0</v>
      </c>
    </row>
    <row r="2284" spans="1:16">
      <c r="A2284" s="1" t="str">
        <f t="shared" ref="A2284:A2288" si="723">"20220624"</f>
        <v>20220624</v>
      </c>
      <c r="B2284" s="1" t="str">
        <f>"159781"</f>
        <v>159781</v>
      </c>
      <c r="C2284" s="1" t="str">
        <f>"科创创业"</f>
        <v>科创创业</v>
      </c>
      <c r="D2284" s="1" t="str">
        <f>"卖券还款"</f>
        <v>卖券还款</v>
      </c>
      <c r="E2284" s="1">
        <v>0.681</v>
      </c>
      <c r="F2284" s="1">
        <v>16000</v>
      </c>
      <c r="G2284" s="1">
        <v>10896</v>
      </c>
      <c r="H2284" s="1">
        <v>5</v>
      </c>
      <c r="I2284" s="1">
        <v>4.56</v>
      </c>
      <c r="J2284" s="1">
        <v>0</v>
      </c>
      <c r="K2284" s="1">
        <v>0</v>
      </c>
      <c r="L2284" s="1">
        <v>0</v>
      </c>
      <c r="M2284" s="1">
        <v>0</v>
      </c>
      <c r="N2284" s="1">
        <v>10891</v>
      </c>
      <c r="O2284" s="1">
        <v>11324.71</v>
      </c>
      <c r="P2284" s="1">
        <v>84000</v>
      </c>
    </row>
    <row r="2285" spans="1:16">
      <c r="A2285" s="1" t="str">
        <f t="shared" si="723"/>
        <v>20220624</v>
      </c>
      <c r="B2285" s="1"/>
      <c r="C2285" s="1"/>
      <c r="D2285" s="1" t="str">
        <f>"偿还融资利息"</f>
        <v>偿还融资利息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-1.38</v>
      </c>
      <c r="O2285" s="1">
        <v>11323.33</v>
      </c>
      <c r="P2285" s="1">
        <v>0</v>
      </c>
    </row>
    <row r="2286" spans="1:16">
      <c r="A2286" s="1" t="str">
        <f t="shared" si="723"/>
        <v>20220624</v>
      </c>
      <c r="B2286" s="1"/>
      <c r="C2286" s="1"/>
      <c r="D2286" s="1" t="str">
        <f>"偿还融资负债本金"</f>
        <v>偿还融资负债本金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-2003.64</v>
      </c>
      <c r="O2286" s="1">
        <v>9319.69</v>
      </c>
      <c r="P2286" s="1">
        <v>0</v>
      </c>
    </row>
    <row r="2287" spans="1:16">
      <c r="A2287" s="1" t="str">
        <f t="shared" si="723"/>
        <v>20220624</v>
      </c>
      <c r="B2287" s="1"/>
      <c r="C2287" s="1"/>
      <c r="D2287" s="1" t="str">
        <f>"偿还融资利息"</f>
        <v>偿还融资利息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-311.07</v>
      </c>
      <c r="O2287" s="1">
        <v>9008.62</v>
      </c>
      <c r="P2287" s="1">
        <v>0</v>
      </c>
    </row>
    <row r="2288" spans="1:16">
      <c r="A2288" s="1" t="str">
        <f t="shared" si="723"/>
        <v>20220624</v>
      </c>
      <c r="B2288" s="1"/>
      <c r="C2288" s="1"/>
      <c r="D2288" s="1" t="str">
        <f>"偿还融资负债本金"</f>
        <v>偿还融资负债本金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-8547.22</v>
      </c>
      <c r="O2288" s="1">
        <v>461.4</v>
      </c>
      <c r="P2288" s="1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4"/>
  <sheetViews>
    <sheetView workbookViewId="0">
      <selection activeCell="E17" sqref="E17"/>
    </sheetView>
  </sheetViews>
  <sheetFormatPr defaultColWidth="9" defaultRowHeight="13.5"/>
  <cols>
    <col min="1" max="16384" width="9" style="2"/>
  </cols>
  <sheetData>
    <row r="1" spans="1:19">
      <c r="A1" s="2" t="str">
        <f>"交割日期"</f>
        <v>交割日期</v>
      </c>
      <c r="B1" s="2" t="str">
        <f>"证券代码"</f>
        <v>证券代码</v>
      </c>
      <c r="C1" s="2" t="str">
        <f>"证券名称"</f>
        <v>证券名称</v>
      </c>
      <c r="D1" s="2" t="str">
        <f>"业务名称"</f>
        <v>业务名称</v>
      </c>
      <c r="E1" s="2" t="str">
        <f>"成交价格"</f>
        <v>成交价格</v>
      </c>
      <c r="F1" s="2" t="str">
        <f>"成交数量"</f>
        <v>成交数量</v>
      </c>
      <c r="G1" s="2" t="str">
        <f>"成交金额"</f>
        <v>成交金额</v>
      </c>
      <c r="H1" s="2" t="str">
        <f>"手续费"</f>
        <v>手续费</v>
      </c>
      <c r="I1" s="2" t="str">
        <f>"净佣金"</f>
        <v>净佣金</v>
      </c>
      <c r="J1" s="2" t="str">
        <f>"印花税"</f>
        <v>印花税</v>
      </c>
      <c r="K1" s="2" t="str">
        <f>"过户费"</f>
        <v>过户费</v>
      </c>
      <c r="L1" s="2" t="str">
        <f>"结算费"</f>
        <v>结算费</v>
      </c>
      <c r="M1" s="2" t="str">
        <f>"其他费"</f>
        <v>其他费</v>
      </c>
      <c r="N1" s="2" t="str">
        <f>"发生金额"</f>
        <v>发生金额</v>
      </c>
      <c r="O1" s="2" t="str">
        <f>"剩余金额"</f>
        <v>剩余金额</v>
      </c>
      <c r="P1" s="2" t="str">
        <f>"证券数量"</f>
        <v>证券数量</v>
      </c>
      <c r="Q1" s="2" t="str">
        <f>"股东代码"</f>
        <v>股东代码</v>
      </c>
      <c r="R1" s="2" t="str">
        <f>"币种"</f>
        <v>币种</v>
      </c>
      <c r="S1" s="2" t="str">
        <f>"成交编号"</f>
        <v>成交编号</v>
      </c>
    </row>
    <row r="2" spans="1:19">
      <c r="A2" s="2" t="str">
        <f t="shared" ref="A2:A6" si="0">"20140924"</f>
        <v>20140924</v>
      </c>
      <c r="B2" s="2" t="str">
        <f>"000606"</f>
        <v>000606</v>
      </c>
      <c r="C2" s="2" t="str">
        <f>"青海明胶"</f>
        <v>青海明胶</v>
      </c>
      <c r="D2" s="2" t="str">
        <f t="shared" ref="D2:D6" si="1">"担保物转入"</f>
        <v>担保物转入</v>
      </c>
      <c r="E2" s="2">
        <v>7.13</v>
      </c>
      <c r="F2" s="2">
        <v>1500</v>
      </c>
      <c r="G2" s="2">
        <v>10695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1500</v>
      </c>
      <c r="Q2" s="2" t="str">
        <f t="shared" ref="Q2:Q7" si="2">"0602175409"</f>
        <v>0602175409</v>
      </c>
      <c r="R2" s="2" t="str">
        <f t="shared" ref="R2:R14" si="3">"人民币"</f>
        <v>人民币</v>
      </c>
      <c r="S2" s="2" t="str">
        <f>"sno:160072"</f>
        <v>sno:160072</v>
      </c>
    </row>
    <row r="3" spans="1:19">
      <c r="A3" s="2" t="str">
        <f t="shared" si="0"/>
        <v>20140924</v>
      </c>
      <c r="B3" s="2" t="str">
        <f>"150181"</f>
        <v>150181</v>
      </c>
      <c r="C3" s="2" t="str">
        <f>"军工A"</f>
        <v>军工A</v>
      </c>
      <c r="D3" s="2" t="str">
        <f t="shared" si="1"/>
        <v>担保物转入</v>
      </c>
      <c r="E3" s="2">
        <v>0.902</v>
      </c>
      <c r="F3" s="2">
        <v>23100</v>
      </c>
      <c r="G3" s="2">
        <v>20836.2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23100</v>
      </c>
      <c r="Q3" s="2" t="str">
        <f t="shared" si="2"/>
        <v>0602175409</v>
      </c>
      <c r="R3" s="2" t="str">
        <f t="shared" si="3"/>
        <v>人民币</v>
      </c>
      <c r="S3" s="2" t="str">
        <f>"sno:159014"</f>
        <v>sno:159014</v>
      </c>
    </row>
    <row r="4" spans="1:19">
      <c r="A4" s="2" t="str">
        <f t="shared" si="0"/>
        <v>20140924</v>
      </c>
      <c r="B4" s="2" t="str">
        <f>"601607"</f>
        <v>601607</v>
      </c>
      <c r="C4" s="2" t="str">
        <f>"上海医药"</f>
        <v>上海医药</v>
      </c>
      <c r="D4" s="2" t="str">
        <f t="shared" si="1"/>
        <v>担保物转入</v>
      </c>
      <c r="E4" s="2">
        <v>13.66</v>
      </c>
      <c r="F4" s="2">
        <v>2000</v>
      </c>
      <c r="G4" s="2">
        <v>27320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2000</v>
      </c>
      <c r="Q4" s="2" t="str">
        <f t="shared" ref="Q4:Q6" si="4">"E021635187"</f>
        <v>E021635187</v>
      </c>
      <c r="R4" s="2" t="str">
        <f t="shared" si="3"/>
        <v>人民币</v>
      </c>
      <c r="S4" s="2" t="str">
        <f>"1361000035"</f>
        <v>1361000035</v>
      </c>
    </row>
    <row r="5" spans="1:19">
      <c r="A5" s="2" t="str">
        <f t="shared" si="0"/>
        <v>20140924</v>
      </c>
      <c r="B5" s="2" t="str">
        <f>"601166"</f>
        <v>601166</v>
      </c>
      <c r="C5" s="2" t="str">
        <f>"兴业银行"</f>
        <v>兴业银行</v>
      </c>
      <c r="D5" s="2" t="str">
        <f t="shared" si="1"/>
        <v>担保物转入</v>
      </c>
      <c r="E5" s="2">
        <v>10.87</v>
      </c>
      <c r="F5" s="2">
        <v>800</v>
      </c>
      <c r="G5" s="2">
        <v>8696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800</v>
      </c>
      <c r="Q5" s="2" t="str">
        <f t="shared" si="4"/>
        <v>E021635187</v>
      </c>
      <c r="R5" s="2" t="str">
        <f t="shared" si="3"/>
        <v>人民币</v>
      </c>
      <c r="S5" s="2" t="str">
        <f>"1361000096"</f>
        <v>1361000096</v>
      </c>
    </row>
    <row r="6" spans="1:19">
      <c r="A6" s="2" t="str">
        <f t="shared" si="0"/>
        <v>20140924</v>
      </c>
      <c r="B6" s="2" t="str">
        <f>"601607"</f>
        <v>601607</v>
      </c>
      <c r="C6" s="2" t="str">
        <f>"上海医药"</f>
        <v>上海医药</v>
      </c>
      <c r="D6" s="2" t="str">
        <f t="shared" si="1"/>
        <v>担保物转入</v>
      </c>
      <c r="E6" s="2">
        <v>13.66</v>
      </c>
      <c r="F6" s="2">
        <v>1900</v>
      </c>
      <c r="G6" s="2">
        <v>25954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3900</v>
      </c>
      <c r="Q6" s="2" t="str">
        <f t="shared" si="4"/>
        <v>E021635187</v>
      </c>
      <c r="R6" s="2" t="str">
        <f t="shared" si="3"/>
        <v>人民币</v>
      </c>
      <c r="S6" s="2" t="str">
        <f>"1361000342"</f>
        <v>1361000342</v>
      </c>
    </row>
    <row r="7" spans="1:19">
      <c r="A7" s="2" t="str">
        <f>"20140925"</f>
        <v>20140925</v>
      </c>
      <c r="B7" s="2" t="str">
        <f>"000541"</f>
        <v>000541</v>
      </c>
      <c r="C7" s="2" t="str">
        <f>"佛山照明"</f>
        <v>佛山照明</v>
      </c>
      <c r="D7" s="2" t="str">
        <f>"融资买入"</f>
        <v>融资买入</v>
      </c>
      <c r="E7" s="2">
        <v>12.17</v>
      </c>
      <c r="F7" s="2">
        <v>500</v>
      </c>
      <c r="G7" s="2">
        <v>6085</v>
      </c>
      <c r="H7" s="2">
        <v>6.69</v>
      </c>
      <c r="I7" s="2">
        <v>5.99</v>
      </c>
      <c r="J7" s="2">
        <v>0</v>
      </c>
      <c r="K7" s="2">
        <v>0</v>
      </c>
      <c r="L7" s="2">
        <v>0</v>
      </c>
      <c r="M7" s="2">
        <v>0</v>
      </c>
      <c r="N7" s="2">
        <v>-6091.69</v>
      </c>
      <c r="O7" s="2">
        <v>-6091.69</v>
      </c>
      <c r="P7" s="2">
        <v>500</v>
      </c>
      <c r="Q7" s="2" t="str">
        <f t="shared" si="2"/>
        <v>0602175409</v>
      </c>
      <c r="R7" s="2" t="str">
        <f t="shared" si="3"/>
        <v>人民币</v>
      </c>
      <c r="S7" s="2" t="str">
        <f>"T4000303"</f>
        <v>T4000303</v>
      </c>
    </row>
    <row r="8" spans="1:19">
      <c r="A8" s="2" t="str">
        <f>"20140925"</f>
        <v>20140925</v>
      </c>
      <c r="D8" s="2" t="str">
        <f>"融资借入"</f>
        <v>融资借入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6091.69</v>
      </c>
      <c r="O8" s="2">
        <v>0</v>
      </c>
      <c r="P8" s="2">
        <v>0</v>
      </c>
      <c r="R8" s="2" t="str">
        <f t="shared" si="3"/>
        <v>人民币</v>
      </c>
      <c r="S8" s="2" t="str">
        <f>"T4000303"</f>
        <v>T4000303</v>
      </c>
    </row>
    <row r="9" spans="1:18">
      <c r="A9" s="2" t="str">
        <f t="shared" ref="A9:A14" si="5">"20140926"</f>
        <v>20140926</v>
      </c>
      <c r="D9" s="2" t="str">
        <f>"银行转证券"</f>
        <v>银行转证券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200</v>
      </c>
      <c r="O9" s="2">
        <v>200</v>
      </c>
      <c r="P9" s="2">
        <v>0</v>
      </c>
      <c r="R9" s="2" t="str">
        <f t="shared" si="3"/>
        <v>人民币</v>
      </c>
    </row>
    <row r="10" spans="1:19">
      <c r="A10" s="2" t="str">
        <f t="shared" si="5"/>
        <v>20140926</v>
      </c>
      <c r="B10" s="2" t="str">
        <f>"601607"</f>
        <v>601607</v>
      </c>
      <c r="C10" s="2" t="str">
        <f>"上海医药"</f>
        <v>上海医药</v>
      </c>
      <c r="D10" s="2" t="str">
        <f>"担保物转入"</f>
        <v>担保物转入</v>
      </c>
      <c r="E10" s="2">
        <v>15.34</v>
      </c>
      <c r="F10" s="2">
        <v>1000</v>
      </c>
      <c r="G10" s="2">
        <v>15340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200</v>
      </c>
      <c r="P10" s="2">
        <v>4900</v>
      </c>
      <c r="Q10" s="2" t="str">
        <f>"E021635187"</f>
        <v>E021635187</v>
      </c>
      <c r="R10" s="2" t="str">
        <f t="shared" si="3"/>
        <v>人民币</v>
      </c>
      <c r="S10" s="2" t="str">
        <f>"1361000026"</f>
        <v>1361000026</v>
      </c>
    </row>
    <row r="11" spans="1:19">
      <c r="A11" s="2" t="str">
        <f t="shared" si="5"/>
        <v>20140926</v>
      </c>
      <c r="B11" s="2" t="str">
        <f>"000541"</f>
        <v>000541</v>
      </c>
      <c r="C11" s="2" t="str">
        <f>"佛山照明"</f>
        <v>佛山照明</v>
      </c>
      <c r="D11" s="2" t="str">
        <f>"担保品卖出"</f>
        <v>担保品卖出</v>
      </c>
      <c r="E11" s="2">
        <v>11.88</v>
      </c>
      <c r="F11" s="2">
        <v>500</v>
      </c>
      <c r="G11" s="2">
        <v>5940</v>
      </c>
      <c r="H11" s="2">
        <v>5</v>
      </c>
      <c r="I11" s="2">
        <v>4.32</v>
      </c>
      <c r="J11" s="2">
        <v>5.94</v>
      </c>
      <c r="K11" s="2">
        <v>0</v>
      </c>
      <c r="L11" s="2">
        <v>0</v>
      </c>
      <c r="M11" s="2">
        <v>0</v>
      </c>
      <c r="N11" s="2">
        <v>5929.06</v>
      </c>
      <c r="O11" s="2">
        <v>6129.06</v>
      </c>
      <c r="P11" s="2">
        <v>0</v>
      </c>
      <c r="Q11" s="2" t="str">
        <f>"0602175409"</f>
        <v>0602175409</v>
      </c>
      <c r="R11" s="2" t="str">
        <f t="shared" si="3"/>
        <v>人民币</v>
      </c>
      <c r="S11" s="2" t="str">
        <f>"T4000065"</f>
        <v>T4000065</v>
      </c>
    </row>
    <row r="12" spans="1:18">
      <c r="A12" s="2" t="str">
        <f t="shared" si="5"/>
        <v>20140926</v>
      </c>
      <c r="D12" s="2" t="str">
        <f>"偿还融资负债本金"</f>
        <v>偿还融资负债本金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-177.01</v>
      </c>
      <c r="O12" s="2">
        <v>5952.05</v>
      </c>
      <c r="P12" s="2">
        <v>0</v>
      </c>
      <c r="R12" s="2" t="str">
        <f t="shared" si="3"/>
        <v>人民币</v>
      </c>
    </row>
    <row r="13" spans="1:18">
      <c r="A13" s="2" t="str">
        <f t="shared" si="5"/>
        <v>20140926</v>
      </c>
      <c r="D13" s="2" t="str">
        <f>"偿还融资负债本金"</f>
        <v>偿还融资负债本金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-5914.68</v>
      </c>
      <c r="O13" s="2">
        <v>37.37</v>
      </c>
      <c r="P13" s="2">
        <v>0</v>
      </c>
      <c r="R13" s="2" t="str">
        <f t="shared" si="3"/>
        <v>人民币</v>
      </c>
    </row>
    <row r="14" spans="1:18">
      <c r="A14" s="2" t="str">
        <f t="shared" si="5"/>
        <v>20140926</v>
      </c>
      <c r="D14" s="2" t="str">
        <f>"偿还融资利息"</f>
        <v>偿还融资利息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-1.46</v>
      </c>
      <c r="O14" s="2">
        <v>35.91</v>
      </c>
      <c r="P14" s="2">
        <v>0</v>
      </c>
      <c r="R14" s="2" t="str">
        <f t="shared" si="3"/>
        <v>人民币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32"/>
  <sheetViews>
    <sheetView topLeftCell="A117" workbookViewId="0">
      <selection activeCell="A2" sqref="A2:P132"/>
    </sheetView>
  </sheetViews>
  <sheetFormatPr defaultColWidth="9" defaultRowHeight="13.5"/>
  <cols>
    <col min="1" max="16384" width="9" style="2"/>
  </cols>
  <sheetData>
    <row r="1" spans="1:19">
      <c r="A1" s="2" t="str">
        <f>"交割日期"</f>
        <v>交割日期</v>
      </c>
      <c r="B1" s="2" t="str">
        <f>"证券代码"</f>
        <v>证券代码</v>
      </c>
      <c r="C1" s="2" t="str">
        <f>"证券名称"</f>
        <v>证券名称</v>
      </c>
      <c r="D1" s="2" t="str">
        <f>"业务名称"</f>
        <v>业务名称</v>
      </c>
      <c r="E1" s="2" t="str">
        <f>"成交价格"</f>
        <v>成交价格</v>
      </c>
      <c r="F1" s="2" t="str">
        <f>"成交数量"</f>
        <v>成交数量</v>
      </c>
      <c r="G1" s="2" t="str">
        <f>"成交金额"</f>
        <v>成交金额</v>
      </c>
      <c r="H1" s="2" t="str">
        <f>"手续费"</f>
        <v>手续费</v>
      </c>
      <c r="I1" s="2" t="str">
        <f>"净佣金"</f>
        <v>净佣金</v>
      </c>
      <c r="J1" s="2" t="str">
        <f>"印花税"</f>
        <v>印花税</v>
      </c>
      <c r="K1" s="2" t="str">
        <f>"过户费"</f>
        <v>过户费</v>
      </c>
      <c r="L1" s="2" t="str">
        <f>"结算费"</f>
        <v>结算费</v>
      </c>
      <c r="M1" s="2" t="str">
        <f>"其他费"</f>
        <v>其他费</v>
      </c>
      <c r="N1" s="2" t="str">
        <f>"发生金额"</f>
        <v>发生金额</v>
      </c>
      <c r="O1" s="2" t="str">
        <f>"剩余金额"</f>
        <v>剩余金额</v>
      </c>
      <c r="P1" s="2" t="str">
        <f>"证券数量"</f>
        <v>证券数量</v>
      </c>
      <c r="Q1" s="2" t="str">
        <f>"股东代码"</f>
        <v>股东代码</v>
      </c>
      <c r="R1" s="2" t="str">
        <f>"币种"</f>
        <v>币种</v>
      </c>
      <c r="S1" s="2" t="str">
        <f>"成交编号"</f>
        <v>成交编号</v>
      </c>
    </row>
    <row r="2" spans="1:19">
      <c r="A2" s="2" t="str">
        <f>"20141008"</f>
        <v>20141008</v>
      </c>
      <c r="B2" s="2" t="str">
        <f t="shared" ref="B2:B6" si="0">"600066"</f>
        <v>600066</v>
      </c>
      <c r="C2" s="2" t="str">
        <f t="shared" ref="C2:C6" si="1">"宇通客车"</f>
        <v>宇通客车</v>
      </c>
      <c r="D2" s="2" t="str">
        <f>"融资买入"</f>
        <v>融资买入</v>
      </c>
      <c r="E2" s="2">
        <v>18.51</v>
      </c>
      <c r="F2" s="2">
        <v>3000</v>
      </c>
      <c r="G2" s="2">
        <v>55530</v>
      </c>
      <c r="H2" s="2">
        <v>61.08</v>
      </c>
      <c r="I2" s="2">
        <v>56.11</v>
      </c>
      <c r="J2" s="2">
        <v>0</v>
      </c>
      <c r="K2" s="2">
        <v>1.8</v>
      </c>
      <c r="L2" s="2">
        <v>0</v>
      </c>
      <c r="M2" s="2">
        <v>0</v>
      </c>
      <c r="N2" s="2">
        <v>-55592.88</v>
      </c>
      <c r="O2" s="2">
        <v>-55556.97</v>
      </c>
      <c r="P2" s="2">
        <v>3000</v>
      </c>
      <c r="Q2" s="2" t="str">
        <f t="shared" ref="Q2:Q10" si="2">"E021635187"</f>
        <v>E021635187</v>
      </c>
      <c r="R2" s="2" t="str">
        <f t="shared" ref="R2:R65" si="3">"人民币"</f>
        <v>人民币</v>
      </c>
      <c r="S2" s="2" t="str">
        <f>"1361000372"</f>
        <v>1361000372</v>
      </c>
    </row>
    <row r="3" spans="1:19">
      <c r="A3" s="2" t="str">
        <f>"20141008"</f>
        <v>20141008</v>
      </c>
      <c r="D3" s="2" t="str">
        <f>"融资借入"</f>
        <v>融资借入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55592.88</v>
      </c>
      <c r="O3" s="2">
        <v>35.91</v>
      </c>
      <c r="P3" s="2">
        <v>0</v>
      </c>
      <c r="R3" s="2" t="str">
        <f t="shared" si="3"/>
        <v>人民币</v>
      </c>
      <c r="S3" s="2" t="str">
        <f>"1361000372"</f>
        <v>1361000372</v>
      </c>
    </row>
    <row r="4" spans="1:18">
      <c r="A4" s="2" t="str">
        <f t="shared" ref="A4:A18" si="4">"20141010"</f>
        <v>20141010</v>
      </c>
      <c r="B4" s="2" t="str">
        <f>"161024"</f>
        <v>161024</v>
      </c>
      <c r="C4" s="2" t="str">
        <f>"富国军工"</f>
        <v>富国军工</v>
      </c>
      <c r="D4" s="2" t="str">
        <f>"证券分拆记增/基"</f>
        <v>证券分拆记增/基</v>
      </c>
      <c r="E4" s="2">
        <v>0</v>
      </c>
      <c r="F4" s="2">
        <v>708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35.91</v>
      </c>
      <c r="P4" s="2">
        <v>708</v>
      </c>
      <c r="Q4" s="2" t="str">
        <f>"0602175409"</f>
        <v>0602175409</v>
      </c>
      <c r="R4" s="2" t="str">
        <f t="shared" si="3"/>
        <v>人民币</v>
      </c>
    </row>
    <row r="5" spans="1:19">
      <c r="A5" s="2" t="str">
        <f t="shared" si="4"/>
        <v>20141010</v>
      </c>
      <c r="B5" s="2" t="str">
        <f t="shared" si="0"/>
        <v>600066</v>
      </c>
      <c r="C5" s="2" t="str">
        <f t="shared" si="1"/>
        <v>宇通客车</v>
      </c>
      <c r="D5" s="2" t="str">
        <f t="shared" ref="D5:D9" si="5">"卖券还款"</f>
        <v>卖券还款</v>
      </c>
      <c r="E5" s="2">
        <v>18.95</v>
      </c>
      <c r="F5" s="2">
        <v>1000</v>
      </c>
      <c r="G5" s="2">
        <v>18950</v>
      </c>
      <c r="H5" s="2">
        <v>20.85</v>
      </c>
      <c r="I5" s="2">
        <v>19.15</v>
      </c>
      <c r="J5" s="2">
        <v>18.95</v>
      </c>
      <c r="K5" s="2">
        <v>0.6</v>
      </c>
      <c r="L5" s="2">
        <v>0</v>
      </c>
      <c r="M5" s="2">
        <v>0</v>
      </c>
      <c r="N5" s="2">
        <v>18909.6</v>
      </c>
      <c r="O5" s="2">
        <v>18945.51</v>
      </c>
      <c r="P5" s="2">
        <v>2000</v>
      </c>
      <c r="Q5" s="2" t="str">
        <f t="shared" si="2"/>
        <v>E021635187</v>
      </c>
      <c r="R5" s="2" t="str">
        <f t="shared" si="3"/>
        <v>人民币</v>
      </c>
      <c r="S5" s="2" t="str">
        <f>"1361000045"</f>
        <v>1361000045</v>
      </c>
    </row>
    <row r="6" spans="1:19">
      <c r="A6" s="2" t="str">
        <f t="shared" si="4"/>
        <v>20141010</v>
      </c>
      <c r="B6" s="2" t="str">
        <f t="shared" si="0"/>
        <v>600066</v>
      </c>
      <c r="C6" s="2" t="str">
        <f t="shared" si="1"/>
        <v>宇通客车</v>
      </c>
      <c r="D6" s="2" t="str">
        <f t="shared" si="5"/>
        <v>卖券还款</v>
      </c>
      <c r="E6" s="2">
        <v>19.29</v>
      </c>
      <c r="F6" s="2">
        <v>1000</v>
      </c>
      <c r="G6" s="2">
        <v>19290</v>
      </c>
      <c r="H6" s="2">
        <v>21.22</v>
      </c>
      <c r="I6" s="2">
        <v>19.49</v>
      </c>
      <c r="J6" s="2">
        <v>19.29</v>
      </c>
      <c r="K6" s="2">
        <v>0.6</v>
      </c>
      <c r="L6" s="2">
        <v>0</v>
      </c>
      <c r="M6" s="2">
        <v>0</v>
      </c>
      <c r="N6" s="2">
        <v>19248.89</v>
      </c>
      <c r="O6" s="2">
        <v>38194.4</v>
      </c>
      <c r="P6" s="2">
        <v>1000</v>
      </c>
      <c r="Q6" s="2" t="str">
        <f t="shared" si="2"/>
        <v>E021635187</v>
      </c>
      <c r="R6" s="2" t="str">
        <f t="shared" si="3"/>
        <v>人民币</v>
      </c>
      <c r="S6" s="2" t="str">
        <f>"1361000105"</f>
        <v>1361000105</v>
      </c>
    </row>
    <row r="7" spans="1:19">
      <c r="A7" s="2" t="str">
        <f t="shared" si="4"/>
        <v>20141010</v>
      </c>
      <c r="B7" s="2" t="str">
        <f t="shared" ref="B7:B10" si="6">"600467"</f>
        <v>600467</v>
      </c>
      <c r="C7" s="2" t="str">
        <f t="shared" ref="C7:C10" si="7">"好当家"</f>
        <v>好当家</v>
      </c>
      <c r="D7" s="2" t="str">
        <f t="shared" ref="D7:D10" si="8">"融资买入"</f>
        <v>融资买入</v>
      </c>
      <c r="E7" s="2">
        <v>6.26</v>
      </c>
      <c r="F7" s="2">
        <v>2000</v>
      </c>
      <c r="G7" s="2">
        <v>12520</v>
      </c>
      <c r="H7" s="2">
        <v>13.77</v>
      </c>
      <c r="I7" s="2">
        <v>12.65</v>
      </c>
      <c r="J7" s="2">
        <v>0</v>
      </c>
      <c r="K7" s="2">
        <v>1.2</v>
      </c>
      <c r="L7" s="2">
        <v>0</v>
      </c>
      <c r="M7" s="2">
        <v>0</v>
      </c>
      <c r="N7" s="2">
        <v>-12534.97</v>
      </c>
      <c r="O7" s="2">
        <v>25659.43</v>
      </c>
      <c r="P7" s="2">
        <v>2000</v>
      </c>
      <c r="Q7" s="2" t="str">
        <f t="shared" si="2"/>
        <v>E021635187</v>
      </c>
      <c r="R7" s="2" t="str">
        <f t="shared" si="3"/>
        <v>人民币</v>
      </c>
      <c r="S7" s="2" t="str">
        <f>"1361000180"</f>
        <v>1361000180</v>
      </c>
    </row>
    <row r="8" spans="1:19">
      <c r="A8" s="2" t="str">
        <f t="shared" si="4"/>
        <v>20141010</v>
      </c>
      <c r="B8" s="2" t="str">
        <f t="shared" si="6"/>
        <v>600467</v>
      </c>
      <c r="C8" s="2" t="str">
        <f t="shared" si="7"/>
        <v>好当家</v>
      </c>
      <c r="D8" s="2" t="str">
        <f t="shared" si="8"/>
        <v>融资买入</v>
      </c>
      <c r="E8" s="2">
        <v>6.26</v>
      </c>
      <c r="F8" s="2">
        <v>2000</v>
      </c>
      <c r="G8" s="2">
        <v>12520</v>
      </c>
      <c r="H8" s="2">
        <v>13.77</v>
      </c>
      <c r="I8" s="2">
        <v>12.65</v>
      </c>
      <c r="J8" s="2">
        <v>0</v>
      </c>
      <c r="K8" s="2">
        <v>1.2</v>
      </c>
      <c r="L8" s="2">
        <v>0</v>
      </c>
      <c r="M8" s="2">
        <v>0</v>
      </c>
      <c r="N8" s="2">
        <v>-12534.97</v>
      </c>
      <c r="O8" s="2">
        <v>13124.46</v>
      </c>
      <c r="P8" s="2">
        <v>4000</v>
      </c>
      <c r="Q8" s="2" t="str">
        <f t="shared" si="2"/>
        <v>E021635187</v>
      </c>
      <c r="R8" s="2" t="str">
        <f t="shared" si="3"/>
        <v>人民币</v>
      </c>
      <c r="S8" s="2" t="str">
        <f>"1361000182"</f>
        <v>1361000182</v>
      </c>
    </row>
    <row r="9" spans="1:19">
      <c r="A9" s="2" t="str">
        <f t="shared" si="4"/>
        <v>20141010</v>
      </c>
      <c r="B9" s="2" t="str">
        <f>"600066"</f>
        <v>600066</v>
      </c>
      <c r="C9" s="2" t="str">
        <f>"宇通客车"</f>
        <v>宇通客车</v>
      </c>
      <c r="D9" s="2" t="str">
        <f t="shared" si="5"/>
        <v>卖券还款</v>
      </c>
      <c r="E9" s="2">
        <v>19.09</v>
      </c>
      <c r="F9" s="2">
        <v>1000</v>
      </c>
      <c r="G9" s="2">
        <v>19090</v>
      </c>
      <c r="H9" s="2">
        <v>21</v>
      </c>
      <c r="I9" s="2">
        <v>19.3</v>
      </c>
      <c r="J9" s="2">
        <v>19.09</v>
      </c>
      <c r="K9" s="2">
        <v>0.6</v>
      </c>
      <c r="L9" s="2">
        <v>0</v>
      </c>
      <c r="M9" s="2">
        <v>0</v>
      </c>
      <c r="N9" s="2">
        <v>19049.31</v>
      </c>
      <c r="O9" s="2">
        <v>32173.77</v>
      </c>
      <c r="P9" s="2">
        <v>0</v>
      </c>
      <c r="Q9" s="2" t="str">
        <f t="shared" si="2"/>
        <v>E021635187</v>
      </c>
      <c r="R9" s="2" t="str">
        <f t="shared" si="3"/>
        <v>人民币</v>
      </c>
      <c r="S9" s="2" t="str">
        <f>"1361000211"</f>
        <v>1361000211</v>
      </c>
    </row>
    <row r="10" spans="1:19">
      <c r="A10" s="2" t="str">
        <f t="shared" si="4"/>
        <v>20141010</v>
      </c>
      <c r="B10" s="2" t="str">
        <f t="shared" si="6"/>
        <v>600467</v>
      </c>
      <c r="C10" s="2" t="str">
        <f t="shared" si="7"/>
        <v>好当家</v>
      </c>
      <c r="D10" s="2" t="str">
        <f t="shared" si="8"/>
        <v>融资买入</v>
      </c>
      <c r="E10" s="2">
        <v>6.19</v>
      </c>
      <c r="F10" s="2">
        <v>1000</v>
      </c>
      <c r="G10" s="2">
        <v>6190</v>
      </c>
      <c r="H10" s="2">
        <v>6.81</v>
      </c>
      <c r="I10" s="2">
        <v>6.26</v>
      </c>
      <c r="J10" s="2">
        <v>0</v>
      </c>
      <c r="K10" s="2">
        <v>0.6</v>
      </c>
      <c r="L10" s="2">
        <v>0</v>
      </c>
      <c r="M10" s="2">
        <v>0</v>
      </c>
      <c r="N10" s="2">
        <v>-6197.41</v>
      </c>
      <c r="O10" s="2">
        <v>25976.36</v>
      </c>
      <c r="P10" s="2">
        <v>5000</v>
      </c>
      <c r="Q10" s="2" t="str">
        <f t="shared" si="2"/>
        <v>E021635187</v>
      </c>
      <c r="R10" s="2" t="str">
        <f t="shared" si="3"/>
        <v>人民币</v>
      </c>
      <c r="S10" s="2" t="str">
        <f>"1361000232"</f>
        <v>1361000232</v>
      </c>
    </row>
    <row r="11" spans="1:19">
      <c r="A11" s="2" t="str">
        <f t="shared" si="4"/>
        <v>20141010</v>
      </c>
      <c r="D11" s="2" t="str">
        <f t="shared" ref="D11:D13" si="9">"融资借入"</f>
        <v>融资借入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12534.97</v>
      </c>
      <c r="O11" s="2">
        <v>38511.33</v>
      </c>
      <c r="P11" s="2">
        <v>0</v>
      </c>
      <c r="R11" s="2" t="str">
        <f t="shared" si="3"/>
        <v>人民币</v>
      </c>
      <c r="S11" s="2" t="str">
        <f>"1361000180"</f>
        <v>1361000180</v>
      </c>
    </row>
    <row r="12" spans="1:19">
      <c r="A12" s="2" t="str">
        <f t="shared" si="4"/>
        <v>20141010</v>
      </c>
      <c r="D12" s="2" t="str">
        <f t="shared" si="9"/>
        <v>融资借入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12534.97</v>
      </c>
      <c r="O12" s="2">
        <v>51046.3</v>
      </c>
      <c r="P12" s="2">
        <v>0</v>
      </c>
      <c r="R12" s="2" t="str">
        <f t="shared" si="3"/>
        <v>人民币</v>
      </c>
      <c r="S12" s="2" t="str">
        <f>"1361000182"</f>
        <v>1361000182</v>
      </c>
    </row>
    <row r="13" spans="1:19">
      <c r="A13" s="2" t="str">
        <f t="shared" si="4"/>
        <v>20141010</v>
      </c>
      <c r="D13" s="2" t="str">
        <f t="shared" si="9"/>
        <v>融资借入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6197.41</v>
      </c>
      <c r="O13" s="2">
        <v>57243.71</v>
      </c>
      <c r="P13" s="2">
        <v>0</v>
      </c>
      <c r="R13" s="2" t="str">
        <f t="shared" si="3"/>
        <v>人民币</v>
      </c>
      <c r="S13" s="2" t="str">
        <f>"1361000232"</f>
        <v>1361000232</v>
      </c>
    </row>
    <row r="14" spans="1:19">
      <c r="A14" s="2" t="str">
        <f t="shared" si="4"/>
        <v>20141010</v>
      </c>
      <c r="D14" s="2" t="str">
        <f>"偿还融资利息"</f>
        <v>偿还融资利息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-26.56</v>
      </c>
      <c r="O14" s="2">
        <v>57217.15</v>
      </c>
      <c r="P14" s="2">
        <v>0</v>
      </c>
      <c r="R14" s="2" t="str">
        <f t="shared" si="3"/>
        <v>人民币</v>
      </c>
      <c r="S14" s="2" t="str">
        <f>"1361000045"</f>
        <v>1361000045</v>
      </c>
    </row>
    <row r="15" spans="1:19">
      <c r="A15" s="2" t="str">
        <f t="shared" si="4"/>
        <v>20141010</v>
      </c>
      <c r="D15" s="2" t="str">
        <f t="shared" ref="D15:D18" si="10">"偿还融资负债本金"</f>
        <v>偿还融资负债本金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-18883.04</v>
      </c>
      <c r="O15" s="2">
        <v>38334.11</v>
      </c>
      <c r="P15" s="2">
        <v>0</v>
      </c>
      <c r="R15" s="2" t="str">
        <f t="shared" si="3"/>
        <v>人民币</v>
      </c>
      <c r="S15" s="2" t="str">
        <f>"1361000045"</f>
        <v>1361000045</v>
      </c>
    </row>
    <row r="16" spans="1:19">
      <c r="A16" s="2" t="str">
        <f t="shared" si="4"/>
        <v>20141010</v>
      </c>
      <c r="D16" s="2" t="str">
        <f t="shared" si="10"/>
        <v>偿还融资负债本金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-19248.89</v>
      </c>
      <c r="O16" s="2">
        <v>19085.22</v>
      </c>
      <c r="P16" s="2">
        <v>0</v>
      </c>
      <c r="R16" s="2" t="str">
        <f t="shared" si="3"/>
        <v>人民币</v>
      </c>
      <c r="S16" s="2" t="str">
        <f>"1361000105"</f>
        <v>1361000105</v>
      </c>
    </row>
    <row r="17" spans="1:19">
      <c r="A17" s="2" t="str">
        <f t="shared" si="4"/>
        <v>20141010</v>
      </c>
      <c r="D17" s="2" t="str">
        <f t="shared" si="10"/>
        <v>偿还融资负债本金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-17460.95</v>
      </c>
      <c r="O17" s="2">
        <v>1624.27</v>
      </c>
      <c r="P17" s="2">
        <v>0</v>
      </c>
      <c r="R17" s="2" t="str">
        <f t="shared" si="3"/>
        <v>人民币</v>
      </c>
      <c r="S17" s="2" t="str">
        <f>"1361000211"</f>
        <v>1361000211</v>
      </c>
    </row>
    <row r="18" spans="1:19">
      <c r="A18" s="2" t="str">
        <f t="shared" si="4"/>
        <v>20141010</v>
      </c>
      <c r="D18" s="2" t="str">
        <f t="shared" si="10"/>
        <v>偿还融资负债本金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-1588.36</v>
      </c>
      <c r="O18" s="2">
        <v>35.91</v>
      </c>
      <c r="P18" s="2">
        <v>0</v>
      </c>
      <c r="R18" s="2" t="str">
        <f t="shared" si="3"/>
        <v>人民币</v>
      </c>
      <c r="S18" s="2" t="str">
        <f>"1361000211"</f>
        <v>1361000211</v>
      </c>
    </row>
    <row r="19" spans="1:19">
      <c r="A19" s="2" t="str">
        <f>"20141013"</f>
        <v>20141013</v>
      </c>
      <c r="B19" s="2" t="str">
        <f>"161024"</f>
        <v>161024</v>
      </c>
      <c r="C19" s="2" t="str">
        <f>"富国军工"</f>
        <v>富国军工</v>
      </c>
      <c r="D19" s="2" t="str">
        <f>"担保物转出"</f>
        <v>担保物转出</v>
      </c>
      <c r="E19" s="2">
        <v>1</v>
      </c>
      <c r="F19" s="2">
        <v>708</v>
      </c>
      <c r="G19" s="2">
        <v>708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35.91</v>
      </c>
      <c r="P19" s="2">
        <v>0</v>
      </c>
      <c r="Q19" s="2" t="str">
        <f>"0602175409"</f>
        <v>0602175409</v>
      </c>
      <c r="R19" s="2" t="str">
        <f t="shared" si="3"/>
        <v>人民币</v>
      </c>
      <c r="S19" s="2" t="str">
        <f>"T4000386"</f>
        <v>T4000386</v>
      </c>
    </row>
    <row r="20" spans="1:19">
      <c r="A20" s="2" t="str">
        <f t="shared" ref="A20:A32" si="11">"20141014"</f>
        <v>20141014</v>
      </c>
      <c r="B20" s="2" t="str">
        <f t="shared" ref="B20:B23" si="12">"600467"</f>
        <v>600467</v>
      </c>
      <c r="C20" s="2" t="str">
        <f t="shared" ref="C20:C23" si="13">"好当家"</f>
        <v>好当家</v>
      </c>
      <c r="D20" s="2" t="str">
        <f>"卖券还款"</f>
        <v>卖券还款</v>
      </c>
      <c r="E20" s="2">
        <v>6.2</v>
      </c>
      <c r="F20" s="2">
        <v>3000</v>
      </c>
      <c r="G20" s="2">
        <v>18600</v>
      </c>
      <c r="H20" s="2">
        <v>20.46</v>
      </c>
      <c r="I20" s="2">
        <v>18.8</v>
      </c>
      <c r="J20" s="2">
        <v>18.6</v>
      </c>
      <c r="K20" s="2">
        <v>1.8</v>
      </c>
      <c r="L20" s="2">
        <v>0</v>
      </c>
      <c r="M20" s="2">
        <v>0</v>
      </c>
      <c r="N20" s="2">
        <v>18559.14</v>
      </c>
      <c r="O20" s="2">
        <v>18595.05</v>
      </c>
      <c r="P20" s="2">
        <v>2000</v>
      </c>
      <c r="Q20" s="2" t="str">
        <f t="shared" ref="Q20:Q23" si="14">"E021635187"</f>
        <v>E021635187</v>
      </c>
      <c r="R20" s="2" t="str">
        <f t="shared" si="3"/>
        <v>人民币</v>
      </c>
      <c r="S20" s="2" t="str">
        <f>"1361000244"</f>
        <v>1361000244</v>
      </c>
    </row>
    <row r="21" spans="1:19">
      <c r="A21" s="2" t="str">
        <f t="shared" si="11"/>
        <v>20141014</v>
      </c>
      <c r="B21" s="2" t="str">
        <f t="shared" si="12"/>
        <v>600467</v>
      </c>
      <c r="C21" s="2" t="str">
        <f t="shared" si="13"/>
        <v>好当家</v>
      </c>
      <c r="D21" s="2" t="str">
        <f>"卖券还款"</f>
        <v>卖券还款</v>
      </c>
      <c r="E21" s="2">
        <v>6.2</v>
      </c>
      <c r="F21" s="2">
        <v>1000</v>
      </c>
      <c r="G21" s="2">
        <v>6200</v>
      </c>
      <c r="H21" s="2">
        <v>6.82</v>
      </c>
      <c r="I21" s="2">
        <v>6.27</v>
      </c>
      <c r="J21" s="2">
        <v>6.2</v>
      </c>
      <c r="K21" s="2">
        <v>0.6</v>
      </c>
      <c r="L21" s="2">
        <v>0</v>
      </c>
      <c r="M21" s="2">
        <v>0</v>
      </c>
      <c r="N21" s="2">
        <v>6186.38</v>
      </c>
      <c r="O21" s="2">
        <v>24781.43</v>
      </c>
      <c r="P21" s="2">
        <v>1000</v>
      </c>
      <c r="Q21" s="2" t="str">
        <f t="shared" si="14"/>
        <v>E021635187</v>
      </c>
      <c r="R21" s="2" t="str">
        <f t="shared" si="3"/>
        <v>人民币</v>
      </c>
      <c r="S21" s="2" t="str">
        <f>"1361000245"</f>
        <v>1361000245</v>
      </c>
    </row>
    <row r="22" spans="1:19">
      <c r="A22" s="2" t="str">
        <f t="shared" si="11"/>
        <v>20141014</v>
      </c>
      <c r="B22" s="2" t="str">
        <f t="shared" si="12"/>
        <v>600467</v>
      </c>
      <c r="C22" s="2" t="str">
        <f t="shared" si="13"/>
        <v>好当家</v>
      </c>
      <c r="D22" s="2" t="str">
        <f>"融资买入"</f>
        <v>融资买入</v>
      </c>
      <c r="E22" s="2">
        <v>6.17</v>
      </c>
      <c r="F22" s="2">
        <v>1000</v>
      </c>
      <c r="G22" s="2">
        <v>6170</v>
      </c>
      <c r="H22" s="2">
        <v>6.79</v>
      </c>
      <c r="I22" s="2">
        <v>6.24</v>
      </c>
      <c r="J22" s="2">
        <v>0</v>
      </c>
      <c r="K22" s="2">
        <v>0.6</v>
      </c>
      <c r="L22" s="2">
        <v>0</v>
      </c>
      <c r="M22" s="2">
        <v>0</v>
      </c>
      <c r="N22" s="2">
        <v>-6177.39</v>
      </c>
      <c r="O22" s="2">
        <v>18604.04</v>
      </c>
      <c r="P22" s="2">
        <v>2000</v>
      </c>
      <c r="Q22" s="2" t="str">
        <f t="shared" si="14"/>
        <v>E021635187</v>
      </c>
      <c r="R22" s="2" t="str">
        <f t="shared" si="3"/>
        <v>人民币</v>
      </c>
      <c r="S22" s="2" t="str">
        <f>"1361000272"</f>
        <v>1361000272</v>
      </c>
    </row>
    <row r="23" spans="1:19">
      <c r="A23" s="2" t="str">
        <f t="shared" si="11"/>
        <v>20141014</v>
      </c>
      <c r="B23" s="2" t="str">
        <f t="shared" si="12"/>
        <v>600467</v>
      </c>
      <c r="C23" s="2" t="str">
        <f t="shared" si="13"/>
        <v>好当家</v>
      </c>
      <c r="D23" s="2" t="str">
        <f>"融资买入"</f>
        <v>融资买入</v>
      </c>
      <c r="E23" s="2">
        <v>6.13</v>
      </c>
      <c r="F23" s="2">
        <v>1000</v>
      </c>
      <c r="G23" s="2">
        <v>6130</v>
      </c>
      <c r="H23" s="2">
        <v>6.74</v>
      </c>
      <c r="I23" s="2">
        <v>6.19</v>
      </c>
      <c r="J23" s="2">
        <v>0</v>
      </c>
      <c r="K23" s="2">
        <v>0.6</v>
      </c>
      <c r="L23" s="2">
        <v>0</v>
      </c>
      <c r="M23" s="2">
        <v>0</v>
      </c>
      <c r="N23" s="2">
        <v>-6137.34</v>
      </c>
      <c r="O23" s="2">
        <v>12466.7</v>
      </c>
      <c r="P23" s="2">
        <v>3000</v>
      </c>
      <c r="Q23" s="2" t="str">
        <f t="shared" si="14"/>
        <v>E021635187</v>
      </c>
      <c r="R23" s="2" t="str">
        <f t="shared" si="3"/>
        <v>人民币</v>
      </c>
      <c r="S23" s="2" t="str">
        <f>"1361000295"</f>
        <v>1361000295</v>
      </c>
    </row>
    <row r="24" spans="1:19">
      <c r="A24" s="2" t="str">
        <f t="shared" si="11"/>
        <v>20141014</v>
      </c>
      <c r="D24" s="2" t="str">
        <f>"融资借入"</f>
        <v>融资借入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6177.39</v>
      </c>
      <c r="O24" s="2">
        <v>18644.09</v>
      </c>
      <c r="P24" s="2">
        <v>0</v>
      </c>
      <c r="R24" s="2" t="str">
        <f t="shared" si="3"/>
        <v>人民币</v>
      </c>
      <c r="S24" s="2" t="str">
        <f>"1361000272"</f>
        <v>1361000272</v>
      </c>
    </row>
    <row r="25" spans="1:19">
      <c r="A25" s="2" t="str">
        <f t="shared" si="11"/>
        <v>20141014</v>
      </c>
      <c r="D25" s="2" t="str">
        <f>"融资借入"</f>
        <v>融资借入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6137.34</v>
      </c>
      <c r="O25" s="2">
        <v>24781.43</v>
      </c>
      <c r="P25" s="2">
        <v>0</v>
      </c>
      <c r="R25" s="2" t="str">
        <f t="shared" si="3"/>
        <v>人民币</v>
      </c>
      <c r="S25" s="2" t="str">
        <f>"1361000295"</f>
        <v>1361000295</v>
      </c>
    </row>
    <row r="26" spans="1:19">
      <c r="A26" s="2" t="str">
        <f t="shared" si="11"/>
        <v>20141014</v>
      </c>
      <c r="D26" s="2" t="str">
        <f t="shared" ref="D26:D31" si="15">"偿还融资利息"</f>
        <v>偿还融资利息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-10.47</v>
      </c>
      <c r="O26" s="2">
        <v>24770.96</v>
      </c>
      <c r="P26" s="2">
        <v>0</v>
      </c>
      <c r="R26" s="2" t="str">
        <f t="shared" si="3"/>
        <v>人民币</v>
      </c>
      <c r="S26" s="2" t="str">
        <f t="shared" ref="S26:S29" si="16">"1361000244"</f>
        <v>1361000244</v>
      </c>
    </row>
    <row r="27" spans="1:19">
      <c r="A27" s="2" t="str">
        <f t="shared" si="11"/>
        <v>20141014</v>
      </c>
      <c r="D27" s="2" t="str">
        <f t="shared" ref="D27:D30" si="17">"偿还融资负债本金"</f>
        <v>偿还融资负债本金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-10946.61</v>
      </c>
      <c r="O27" s="2">
        <v>13824.35</v>
      </c>
      <c r="P27" s="2">
        <v>0</v>
      </c>
      <c r="R27" s="2" t="str">
        <f t="shared" si="3"/>
        <v>人民币</v>
      </c>
      <c r="S27" s="2" t="str">
        <f t="shared" si="16"/>
        <v>1361000244</v>
      </c>
    </row>
    <row r="28" spans="1:19">
      <c r="A28" s="2" t="str">
        <f t="shared" si="11"/>
        <v>20141014</v>
      </c>
      <c r="D28" s="2" t="str">
        <f t="shared" si="15"/>
        <v>偿还融资利息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-11.97</v>
      </c>
      <c r="O28" s="2">
        <v>13812.38</v>
      </c>
      <c r="P28" s="2">
        <v>0</v>
      </c>
      <c r="R28" s="2" t="str">
        <f t="shared" si="3"/>
        <v>人民币</v>
      </c>
      <c r="S28" s="2" t="str">
        <f t="shared" si="16"/>
        <v>1361000244</v>
      </c>
    </row>
    <row r="29" spans="1:19">
      <c r="A29" s="2" t="str">
        <f t="shared" si="11"/>
        <v>20141014</v>
      </c>
      <c r="D29" s="2" t="str">
        <f t="shared" si="17"/>
        <v>偿还融资负债本金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-7590.09</v>
      </c>
      <c r="O29" s="2">
        <v>6222.29</v>
      </c>
      <c r="P29" s="2">
        <v>0</v>
      </c>
      <c r="R29" s="2" t="str">
        <f t="shared" si="3"/>
        <v>人民币</v>
      </c>
      <c r="S29" s="2" t="str">
        <f t="shared" si="16"/>
        <v>1361000244</v>
      </c>
    </row>
    <row r="30" spans="1:19">
      <c r="A30" s="2" t="str">
        <f t="shared" si="11"/>
        <v>20141014</v>
      </c>
      <c r="D30" s="2" t="str">
        <f t="shared" si="17"/>
        <v>偿还融资负债本金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-4944.88</v>
      </c>
      <c r="O30" s="2">
        <v>1277.41</v>
      </c>
      <c r="P30" s="2">
        <v>0</v>
      </c>
      <c r="R30" s="2" t="str">
        <f t="shared" si="3"/>
        <v>人民币</v>
      </c>
      <c r="S30" s="2" t="str">
        <f t="shared" ref="S30:S32" si="18">"1361000245"</f>
        <v>1361000245</v>
      </c>
    </row>
    <row r="31" spans="1:19">
      <c r="A31" s="2" t="str">
        <f t="shared" si="11"/>
        <v>20141014</v>
      </c>
      <c r="D31" s="2" t="str">
        <f t="shared" si="15"/>
        <v>偿还融资利息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-5.92</v>
      </c>
      <c r="O31" s="2">
        <v>1271.49</v>
      </c>
      <c r="P31" s="2">
        <v>0</v>
      </c>
      <c r="R31" s="2" t="str">
        <f t="shared" si="3"/>
        <v>人民币</v>
      </c>
      <c r="S31" s="2" t="str">
        <f t="shared" si="18"/>
        <v>1361000245</v>
      </c>
    </row>
    <row r="32" spans="1:19">
      <c r="A32" s="2" t="str">
        <f t="shared" si="11"/>
        <v>20141014</v>
      </c>
      <c r="D32" s="2" t="str">
        <f>"偿还融资负债本金"</f>
        <v>偿还融资负债本金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-1235.58</v>
      </c>
      <c r="O32" s="2">
        <v>35.91</v>
      </c>
      <c r="P32" s="2">
        <v>0</v>
      </c>
      <c r="R32" s="2" t="str">
        <f t="shared" si="3"/>
        <v>人民币</v>
      </c>
      <c r="S32" s="2" t="str">
        <f t="shared" si="18"/>
        <v>1361000245</v>
      </c>
    </row>
    <row r="33" spans="1:19">
      <c r="A33" s="2" t="str">
        <f>"20141015"</f>
        <v>20141015</v>
      </c>
      <c r="B33" s="2" t="str">
        <f t="shared" ref="B33:B38" si="19">"600467"</f>
        <v>600467</v>
      </c>
      <c r="C33" s="2" t="str">
        <f t="shared" ref="C33:C38" si="20">"好当家"</f>
        <v>好当家</v>
      </c>
      <c r="D33" s="2" t="str">
        <f t="shared" ref="D33:D38" si="21">"融资买入"</f>
        <v>融资买入</v>
      </c>
      <c r="E33" s="2">
        <v>6.1</v>
      </c>
      <c r="F33" s="2">
        <v>2000</v>
      </c>
      <c r="G33" s="2">
        <v>12200</v>
      </c>
      <c r="H33" s="2">
        <v>13.42</v>
      </c>
      <c r="I33" s="2">
        <v>12.33</v>
      </c>
      <c r="J33" s="2">
        <v>0</v>
      </c>
      <c r="K33" s="2">
        <v>1.2</v>
      </c>
      <c r="L33" s="2">
        <v>0</v>
      </c>
      <c r="M33" s="2">
        <v>0</v>
      </c>
      <c r="N33" s="2">
        <v>-12214.62</v>
      </c>
      <c r="O33" s="2">
        <v>-12178.71</v>
      </c>
      <c r="P33" s="2">
        <v>5000</v>
      </c>
      <c r="Q33" s="2" t="str">
        <f t="shared" ref="Q33:Q38" si="22">"E021635187"</f>
        <v>E021635187</v>
      </c>
      <c r="R33" s="2" t="str">
        <f t="shared" si="3"/>
        <v>人民币</v>
      </c>
      <c r="S33" s="2" t="str">
        <f>"1361000189"</f>
        <v>1361000189</v>
      </c>
    </row>
    <row r="34" spans="1:19">
      <c r="A34" s="2" t="str">
        <f>"20141015"</f>
        <v>20141015</v>
      </c>
      <c r="D34" s="2" t="str">
        <f>"融资借入"</f>
        <v>融资借入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12214.62</v>
      </c>
      <c r="O34" s="2">
        <v>35.91</v>
      </c>
      <c r="P34" s="2">
        <v>0</v>
      </c>
      <c r="R34" s="2" t="str">
        <f t="shared" si="3"/>
        <v>人民币</v>
      </c>
      <c r="S34" s="2" t="str">
        <f>"1361000189"</f>
        <v>1361000189</v>
      </c>
    </row>
    <row r="35" spans="1:19">
      <c r="A35" s="2" t="str">
        <f>"20141016"</f>
        <v>20141016</v>
      </c>
      <c r="B35" s="2" t="str">
        <f>"150181"</f>
        <v>150181</v>
      </c>
      <c r="C35" s="2" t="str">
        <f>"军工A"</f>
        <v>军工A</v>
      </c>
      <c r="D35" s="2" t="str">
        <f>"担保物转入"</f>
        <v>担保物转入</v>
      </c>
      <c r="E35" s="2">
        <v>0.879</v>
      </c>
      <c r="F35" s="2">
        <v>354</v>
      </c>
      <c r="G35" s="2">
        <v>311.17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35.91</v>
      </c>
      <c r="P35" s="2">
        <v>23454</v>
      </c>
      <c r="Q35" s="2" t="str">
        <f>"0602175409"</f>
        <v>0602175409</v>
      </c>
      <c r="R35" s="2" t="str">
        <f t="shared" si="3"/>
        <v>人民币</v>
      </c>
      <c r="S35" s="2" t="str">
        <f>"sno:154152"</f>
        <v>sno:154152</v>
      </c>
    </row>
    <row r="36" spans="1:19">
      <c r="A36" s="2" t="str">
        <f t="shared" ref="A36:A48" si="23">"20141017"</f>
        <v>20141017</v>
      </c>
      <c r="B36" s="2" t="str">
        <f t="shared" si="19"/>
        <v>600467</v>
      </c>
      <c r="C36" s="2" t="str">
        <f t="shared" si="20"/>
        <v>好当家</v>
      </c>
      <c r="D36" s="2" t="str">
        <f>"卖券还款"</f>
        <v>卖券还款</v>
      </c>
      <c r="E36" s="2">
        <v>6.05</v>
      </c>
      <c r="F36" s="2">
        <v>4000</v>
      </c>
      <c r="G36" s="2">
        <v>24200</v>
      </c>
      <c r="H36" s="2">
        <v>26.62</v>
      </c>
      <c r="I36" s="2">
        <v>24.46</v>
      </c>
      <c r="J36" s="2">
        <v>24.2</v>
      </c>
      <c r="K36" s="2">
        <v>2.4</v>
      </c>
      <c r="L36" s="2">
        <v>0</v>
      </c>
      <c r="M36" s="2">
        <v>0</v>
      </c>
      <c r="N36" s="2">
        <v>24146.78</v>
      </c>
      <c r="O36" s="2">
        <v>24182.69</v>
      </c>
      <c r="P36" s="2">
        <v>1000</v>
      </c>
      <c r="Q36" s="2" t="str">
        <f t="shared" si="22"/>
        <v>E021635187</v>
      </c>
      <c r="R36" s="2" t="str">
        <f t="shared" si="3"/>
        <v>人民币</v>
      </c>
      <c r="S36" s="2" t="str">
        <f>"1361000164"</f>
        <v>1361000164</v>
      </c>
    </row>
    <row r="37" spans="1:19">
      <c r="A37" s="2" t="str">
        <f t="shared" si="23"/>
        <v>20141017</v>
      </c>
      <c r="B37" s="2" t="str">
        <f>"600664"</f>
        <v>600664</v>
      </c>
      <c r="C37" s="2" t="str">
        <f>"哈药股份"</f>
        <v>哈药股份</v>
      </c>
      <c r="D37" s="2" t="str">
        <f t="shared" si="21"/>
        <v>融资买入</v>
      </c>
      <c r="E37" s="2">
        <v>7.7</v>
      </c>
      <c r="F37" s="2">
        <v>1000</v>
      </c>
      <c r="G37" s="2">
        <v>7700</v>
      </c>
      <c r="H37" s="2">
        <v>8.47</v>
      </c>
      <c r="I37" s="2">
        <v>7.78</v>
      </c>
      <c r="J37" s="2">
        <v>0</v>
      </c>
      <c r="K37" s="2">
        <v>0.6</v>
      </c>
      <c r="L37" s="2">
        <v>0</v>
      </c>
      <c r="M37" s="2">
        <v>0</v>
      </c>
      <c r="N37" s="2">
        <v>-7709.07</v>
      </c>
      <c r="O37" s="2">
        <v>16473.62</v>
      </c>
      <c r="P37" s="2">
        <v>1000</v>
      </c>
      <c r="Q37" s="2" t="str">
        <f t="shared" si="22"/>
        <v>E021635187</v>
      </c>
      <c r="R37" s="2" t="str">
        <f t="shared" si="3"/>
        <v>人民币</v>
      </c>
      <c r="S37" s="2" t="str">
        <f>"1361000268"</f>
        <v>1361000268</v>
      </c>
    </row>
    <row r="38" spans="1:19">
      <c r="A38" s="2" t="str">
        <f t="shared" si="23"/>
        <v>20141017</v>
      </c>
      <c r="B38" s="2" t="str">
        <f t="shared" si="19"/>
        <v>600467</v>
      </c>
      <c r="C38" s="2" t="str">
        <f t="shared" si="20"/>
        <v>好当家</v>
      </c>
      <c r="D38" s="2" t="str">
        <f t="shared" si="21"/>
        <v>融资买入</v>
      </c>
      <c r="E38" s="2">
        <v>5.98</v>
      </c>
      <c r="F38" s="2">
        <v>2000</v>
      </c>
      <c r="G38" s="2">
        <v>11960</v>
      </c>
      <c r="H38" s="2">
        <v>13.16</v>
      </c>
      <c r="I38" s="2">
        <v>12.09</v>
      </c>
      <c r="J38" s="2">
        <v>0</v>
      </c>
      <c r="K38" s="2">
        <v>1.2</v>
      </c>
      <c r="L38" s="2">
        <v>0</v>
      </c>
      <c r="M38" s="2">
        <v>0</v>
      </c>
      <c r="N38" s="2">
        <v>-11974.36</v>
      </c>
      <c r="O38" s="2">
        <v>4499.26</v>
      </c>
      <c r="P38" s="2">
        <v>3000</v>
      </c>
      <c r="Q38" s="2" t="str">
        <f t="shared" si="22"/>
        <v>E021635187</v>
      </c>
      <c r="R38" s="2" t="str">
        <f t="shared" si="3"/>
        <v>人民币</v>
      </c>
      <c r="S38" s="2" t="str">
        <f>"1361000337"</f>
        <v>1361000337</v>
      </c>
    </row>
    <row r="39" spans="1:19">
      <c r="A39" s="2" t="str">
        <f t="shared" si="23"/>
        <v>20141017</v>
      </c>
      <c r="D39" s="2" t="str">
        <f>"融资借入"</f>
        <v>融资借入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11974.36</v>
      </c>
      <c r="O39" s="2">
        <v>16473.62</v>
      </c>
      <c r="P39" s="2">
        <v>0</v>
      </c>
      <c r="R39" s="2" t="str">
        <f t="shared" si="3"/>
        <v>人民币</v>
      </c>
      <c r="S39" s="2" t="str">
        <f>"1361000337"</f>
        <v>1361000337</v>
      </c>
    </row>
    <row r="40" spans="1:19">
      <c r="A40" s="2" t="str">
        <f t="shared" si="23"/>
        <v>20141017</v>
      </c>
      <c r="D40" s="2" t="str">
        <f>"融资借入"</f>
        <v>融资借入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7709.07</v>
      </c>
      <c r="O40" s="2">
        <v>24182.69</v>
      </c>
      <c r="P40" s="2">
        <v>0</v>
      </c>
      <c r="R40" s="2" t="str">
        <f t="shared" si="3"/>
        <v>人民币</v>
      </c>
      <c r="S40" s="2" t="str">
        <f>"1361000268"</f>
        <v>1361000268</v>
      </c>
    </row>
    <row r="41" spans="1:19">
      <c r="A41" s="2" t="str">
        <f t="shared" si="23"/>
        <v>20141017</v>
      </c>
      <c r="D41" s="2" t="str">
        <f t="shared" ref="D41:D45" si="24">"偿还融资利息"</f>
        <v>偿还融资利息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-3.57</v>
      </c>
      <c r="O41" s="2">
        <v>24179.12</v>
      </c>
      <c r="P41" s="2">
        <v>0</v>
      </c>
      <c r="R41" s="2" t="str">
        <f t="shared" si="3"/>
        <v>人民币</v>
      </c>
      <c r="S41" s="2" t="str">
        <f t="shared" ref="S41:S48" si="25">"1361000164"</f>
        <v>1361000164</v>
      </c>
    </row>
    <row r="42" spans="1:19">
      <c r="A42" s="2" t="str">
        <f t="shared" si="23"/>
        <v>20141017</v>
      </c>
      <c r="D42" s="2" t="str">
        <f t="shared" ref="D42:D46" si="26">"偿还融资负债本金"</f>
        <v>偿还融资负债本金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-4961.83</v>
      </c>
      <c r="O42" s="2">
        <v>19217.29</v>
      </c>
      <c r="P42" s="2">
        <v>0</v>
      </c>
      <c r="R42" s="2" t="str">
        <f t="shared" si="3"/>
        <v>人民币</v>
      </c>
      <c r="S42" s="2" t="str">
        <f t="shared" si="25"/>
        <v>1361000164</v>
      </c>
    </row>
    <row r="43" spans="1:19">
      <c r="A43" s="2" t="str">
        <f t="shared" si="23"/>
        <v>20141017</v>
      </c>
      <c r="D43" s="2" t="str">
        <f t="shared" si="24"/>
        <v>偿还融资利息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-4.44</v>
      </c>
      <c r="O43" s="2">
        <v>19212.85</v>
      </c>
      <c r="P43" s="2">
        <v>0</v>
      </c>
      <c r="R43" s="2" t="str">
        <f t="shared" si="3"/>
        <v>人民币</v>
      </c>
      <c r="S43" s="2" t="str">
        <f t="shared" si="25"/>
        <v>1361000164</v>
      </c>
    </row>
    <row r="44" spans="1:19">
      <c r="A44" s="2" t="str">
        <f t="shared" si="23"/>
        <v>20141017</v>
      </c>
      <c r="D44" s="2" t="str">
        <f t="shared" si="26"/>
        <v>偿还融资负债本金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-6177.39</v>
      </c>
      <c r="O44" s="2">
        <v>13035.46</v>
      </c>
      <c r="P44" s="2">
        <v>0</v>
      </c>
      <c r="R44" s="2" t="str">
        <f t="shared" si="3"/>
        <v>人民币</v>
      </c>
      <c r="S44" s="2" t="str">
        <f t="shared" si="25"/>
        <v>1361000164</v>
      </c>
    </row>
    <row r="45" spans="1:19">
      <c r="A45" s="2" t="str">
        <f t="shared" si="23"/>
        <v>20141017</v>
      </c>
      <c r="D45" s="2" t="str">
        <f t="shared" si="24"/>
        <v>偿还融资利息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-4.41</v>
      </c>
      <c r="O45" s="2">
        <v>13031.05</v>
      </c>
      <c r="P45" s="2">
        <v>0</v>
      </c>
      <c r="R45" s="2" t="str">
        <f t="shared" si="3"/>
        <v>人民币</v>
      </c>
      <c r="S45" s="2" t="str">
        <f t="shared" si="25"/>
        <v>1361000164</v>
      </c>
    </row>
    <row r="46" spans="1:19">
      <c r="A46" s="2" t="str">
        <f t="shared" si="23"/>
        <v>20141017</v>
      </c>
      <c r="D46" s="2" t="str">
        <f t="shared" si="26"/>
        <v>偿还融资负债本金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-6137.34</v>
      </c>
      <c r="O46" s="2">
        <v>6893.71</v>
      </c>
      <c r="P46" s="2">
        <v>0</v>
      </c>
      <c r="R46" s="2" t="str">
        <f t="shared" si="3"/>
        <v>人民币</v>
      </c>
      <c r="S46" s="2" t="str">
        <f t="shared" si="25"/>
        <v>1361000164</v>
      </c>
    </row>
    <row r="47" spans="1:19">
      <c r="A47" s="2" t="str">
        <f t="shared" si="23"/>
        <v>20141017</v>
      </c>
      <c r="D47" s="2" t="str">
        <f>"偿还融资利息"</f>
        <v>偿还融资利息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-5.84</v>
      </c>
      <c r="O47" s="2">
        <v>6887.87</v>
      </c>
      <c r="P47" s="2">
        <v>0</v>
      </c>
      <c r="R47" s="2" t="str">
        <f t="shared" si="3"/>
        <v>人民币</v>
      </c>
      <c r="S47" s="2" t="str">
        <f t="shared" si="25"/>
        <v>1361000164</v>
      </c>
    </row>
    <row r="48" spans="1:19">
      <c r="A48" s="2" t="str">
        <f t="shared" si="23"/>
        <v>20141017</v>
      </c>
      <c r="D48" s="2" t="str">
        <f>"偿还融资负债本金"</f>
        <v>偿还融资负债本金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-6851.96</v>
      </c>
      <c r="O48" s="2">
        <v>35.91</v>
      </c>
      <c r="P48" s="2">
        <v>0</v>
      </c>
      <c r="R48" s="2" t="str">
        <f t="shared" si="3"/>
        <v>人民币</v>
      </c>
      <c r="S48" s="2" t="str">
        <f t="shared" si="25"/>
        <v>1361000164</v>
      </c>
    </row>
    <row r="49" spans="1:19">
      <c r="A49" s="2" t="str">
        <f t="shared" ref="A49:A59" si="27">"20141020"</f>
        <v>20141020</v>
      </c>
      <c r="B49" s="2" t="str">
        <f>"600467"</f>
        <v>600467</v>
      </c>
      <c r="C49" s="2" t="str">
        <f>"好当家"</f>
        <v>好当家</v>
      </c>
      <c r="D49" s="2" t="str">
        <f>"融资买入"</f>
        <v>融资买入</v>
      </c>
      <c r="E49" s="2">
        <v>6.08</v>
      </c>
      <c r="F49" s="2">
        <v>3000</v>
      </c>
      <c r="G49" s="2">
        <v>18240</v>
      </c>
      <c r="H49" s="2">
        <v>20.06</v>
      </c>
      <c r="I49" s="2">
        <v>18.43</v>
      </c>
      <c r="J49" s="2">
        <v>0</v>
      </c>
      <c r="K49" s="2">
        <v>1.8</v>
      </c>
      <c r="L49" s="2">
        <v>0</v>
      </c>
      <c r="M49" s="2">
        <v>0</v>
      </c>
      <c r="N49" s="2">
        <v>-18261.86</v>
      </c>
      <c r="O49" s="2">
        <v>-18225.95</v>
      </c>
      <c r="P49" s="2">
        <v>6000</v>
      </c>
      <c r="Q49" s="2" t="str">
        <f t="shared" ref="Q49:Q51" si="28">"E021635187"</f>
        <v>E021635187</v>
      </c>
      <c r="R49" s="2" t="str">
        <f t="shared" si="3"/>
        <v>人民币</v>
      </c>
      <c r="S49" s="2" t="str">
        <f>"1361000280"</f>
        <v>1361000280</v>
      </c>
    </row>
    <row r="50" spans="1:19">
      <c r="A50" s="2" t="str">
        <f t="shared" si="27"/>
        <v>20141020</v>
      </c>
      <c r="B50" s="2" t="str">
        <f>"600664"</f>
        <v>600664</v>
      </c>
      <c r="C50" s="2" t="str">
        <f>"哈药股份"</f>
        <v>哈药股份</v>
      </c>
      <c r="D50" s="2" t="str">
        <f>"卖券还款"</f>
        <v>卖券还款</v>
      </c>
      <c r="E50" s="2">
        <v>7.77</v>
      </c>
      <c r="F50" s="2">
        <v>1000</v>
      </c>
      <c r="G50" s="2">
        <v>7770</v>
      </c>
      <c r="H50" s="2">
        <v>8.55</v>
      </c>
      <c r="I50" s="2">
        <v>7.85</v>
      </c>
      <c r="J50" s="2">
        <v>7.77</v>
      </c>
      <c r="K50" s="2">
        <v>0.6</v>
      </c>
      <c r="L50" s="2">
        <v>0</v>
      </c>
      <c r="M50" s="2">
        <v>0</v>
      </c>
      <c r="N50" s="2">
        <v>7753.08</v>
      </c>
      <c r="O50" s="2">
        <v>-10472.87</v>
      </c>
      <c r="P50" s="2">
        <v>0</v>
      </c>
      <c r="Q50" s="2" t="str">
        <f t="shared" si="28"/>
        <v>E021635187</v>
      </c>
      <c r="R50" s="2" t="str">
        <f t="shared" si="3"/>
        <v>人民币</v>
      </c>
      <c r="S50" s="2" t="str">
        <f t="shared" ref="S50:S56" si="29">"1361000304"</f>
        <v>1361000304</v>
      </c>
    </row>
    <row r="51" spans="1:19">
      <c r="A51" s="2" t="str">
        <f t="shared" si="27"/>
        <v>20141020</v>
      </c>
      <c r="B51" s="2" t="str">
        <f>"600467"</f>
        <v>600467</v>
      </c>
      <c r="C51" s="2" t="str">
        <f>"好当家"</f>
        <v>好当家</v>
      </c>
      <c r="D51" s="2" t="str">
        <f>"卖券还款"</f>
        <v>卖券还款</v>
      </c>
      <c r="E51" s="2">
        <v>6.07</v>
      </c>
      <c r="F51" s="2">
        <v>1000</v>
      </c>
      <c r="G51" s="2">
        <v>6070</v>
      </c>
      <c r="H51" s="2">
        <v>6.68</v>
      </c>
      <c r="I51" s="2">
        <v>6.14</v>
      </c>
      <c r="J51" s="2">
        <v>6.07</v>
      </c>
      <c r="K51" s="2">
        <v>0.6</v>
      </c>
      <c r="L51" s="2">
        <v>0</v>
      </c>
      <c r="M51" s="2">
        <v>0</v>
      </c>
      <c r="N51" s="2">
        <v>6056.65</v>
      </c>
      <c r="O51" s="2">
        <v>-4416.22</v>
      </c>
      <c r="P51" s="2">
        <v>5000</v>
      </c>
      <c r="Q51" s="2" t="str">
        <f t="shared" si="28"/>
        <v>E021635187</v>
      </c>
      <c r="R51" s="2" t="str">
        <f t="shared" si="3"/>
        <v>人民币</v>
      </c>
      <c r="S51" s="2" t="str">
        <f>"1361000328"</f>
        <v>1361000328</v>
      </c>
    </row>
    <row r="52" spans="1:19">
      <c r="A52" s="2" t="str">
        <f t="shared" si="27"/>
        <v>20141020</v>
      </c>
      <c r="D52" s="2" t="str">
        <f>"融资借入"</f>
        <v>融资借入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18261.86</v>
      </c>
      <c r="O52" s="2">
        <v>13845.64</v>
      </c>
      <c r="P52" s="2">
        <v>0</v>
      </c>
      <c r="R52" s="2" t="str">
        <f t="shared" si="3"/>
        <v>人民币</v>
      </c>
      <c r="S52" s="2" t="str">
        <f>"1361000280"</f>
        <v>1361000280</v>
      </c>
    </row>
    <row r="53" spans="1:19">
      <c r="A53" s="2" t="str">
        <f t="shared" si="27"/>
        <v>20141020</v>
      </c>
      <c r="D53" s="2" t="str">
        <f t="shared" ref="D53:D58" si="30">"偿还融资利息"</f>
        <v>偿还融资利息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-3.84</v>
      </c>
      <c r="O53" s="2">
        <v>13841.8</v>
      </c>
      <c r="P53" s="2">
        <v>0</v>
      </c>
      <c r="R53" s="2" t="str">
        <f t="shared" si="3"/>
        <v>人民币</v>
      </c>
      <c r="S53" s="2" t="str">
        <f t="shared" si="29"/>
        <v>1361000304</v>
      </c>
    </row>
    <row r="54" spans="1:19">
      <c r="A54" s="2" t="str">
        <f t="shared" si="27"/>
        <v>20141020</v>
      </c>
      <c r="D54" s="2" t="str">
        <f t="shared" ref="D54:D57" si="31">"偿还融资负债本金"</f>
        <v>偿还融资负债本金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-5362.66</v>
      </c>
      <c r="O54" s="2">
        <v>8479.14</v>
      </c>
      <c r="P54" s="2">
        <v>0</v>
      </c>
      <c r="R54" s="2" t="str">
        <f t="shared" si="3"/>
        <v>人民币</v>
      </c>
      <c r="S54" s="2" t="str">
        <f t="shared" si="29"/>
        <v>1361000304</v>
      </c>
    </row>
    <row r="55" spans="1:19">
      <c r="A55" s="2" t="str">
        <f t="shared" si="27"/>
        <v>20141020</v>
      </c>
      <c r="D55" s="2" t="str">
        <f t="shared" si="30"/>
        <v>偿还融资利息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-5.52</v>
      </c>
      <c r="O55" s="2">
        <v>8473.62</v>
      </c>
      <c r="P55" s="2">
        <v>0</v>
      </c>
      <c r="R55" s="2" t="str">
        <f t="shared" si="3"/>
        <v>人民币</v>
      </c>
      <c r="S55" s="2" t="str">
        <f t="shared" si="29"/>
        <v>1361000304</v>
      </c>
    </row>
    <row r="56" spans="1:19">
      <c r="A56" s="2" t="str">
        <f t="shared" si="27"/>
        <v>20141020</v>
      </c>
      <c r="D56" s="2" t="str">
        <f t="shared" si="31"/>
        <v>偿还融资负债本金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-2381.06</v>
      </c>
      <c r="O56" s="2">
        <v>6092.56</v>
      </c>
      <c r="P56" s="2">
        <v>0</v>
      </c>
      <c r="R56" s="2" t="str">
        <f t="shared" si="3"/>
        <v>人民币</v>
      </c>
      <c r="S56" s="2" t="str">
        <f t="shared" si="29"/>
        <v>1361000304</v>
      </c>
    </row>
    <row r="57" spans="1:19">
      <c r="A57" s="2" t="str">
        <f t="shared" si="27"/>
        <v>20141020</v>
      </c>
      <c r="D57" s="2" t="str">
        <f t="shared" si="31"/>
        <v>偿还融资负债本金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-5328.01</v>
      </c>
      <c r="O57" s="2">
        <v>764.55</v>
      </c>
      <c r="P57" s="2">
        <v>0</v>
      </c>
      <c r="R57" s="2" t="str">
        <f t="shared" si="3"/>
        <v>人民币</v>
      </c>
      <c r="S57" s="2" t="str">
        <f t="shared" ref="S57:S59" si="32">"1361000328"</f>
        <v>1361000328</v>
      </c>
    </row>
    <row r="58" spans="1:19">
      <c r="A58" s="2" t="str">
        <f t="shared" si="27"/>
        <v>20141020</v>
      </c>
      <c r="D58" s="2" t="str">
        <f t="shared" si="30"/>
        <v>偿还融资利息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-8.58</v>
      </c>
      <c r="O58" s="2">
        <v>755.97</v>
      </c>
      <c r="P58" s="2">
        <v>0</v>
      </c>
      <c r="R58" s="2" t="str">
        <f t="shared" si="3"/>
        <v>人民币</v>
      </c>
      <c r="S58" s="2" t="str">
        <f t="shared" si="32"/>
        <v>1361000328</v>
      </c>
    </row>
    <row r="59" spans="1:19">
      <c r="A59" s="2" t="str">
        <f t="shared" si="27"/>
        <v>20141020</v>
      </c>
      <c r="D59" s="2" t="str">
        <f t="shared" ref="D59:D63" si="33">"偿还融资负债本金"</f>
        <v>偿还融资负债本金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-720.06</v>
      </c>
      <c r="O59" s="2">
        <v>35.91</v>
      </c>
      <c r="P59" s="2">
        <v>0</v>
      </c>
      <c r="R59" s="2" t="str">
        <f t="shared" si="3"/>
        <v>人民币</v>
      </c>
      <c r="S59" s="2" t="str">
        <f t="shared" si="32"/>
        <v>1361000328</v>
      </c>
    </row>
    <row r="60" spans="1:19">
      <c r="A60" s="2" t="str">
        <f t="shared" ref="A60:A64" si="34">"20141021"</f>
        <v>20141021</v>
      </c>
      <c r="B60" s="2" t="str">
        <f>"600467"</f>
        <v>600467</v>
      </c>
      <c r="C60" s="2" t="str">
        <f>"好当家"</f>
        <v>好当家</v>
      </c>
      <c r="D60" s="2" t="str">
        <f>"担保品卖出"</f>
        <v>担保品卖出</v>
      </c>
      <c r="E60" s="2">
        <v>6.06</v>
      </c>
      <c r="F60" s="2">
        <v>3000</v>
      </c>
      <c r="G60" s="2">
        <v>18180</v>
      </c>
      <c r="H60" s="2">
        <v>9.09</v>
      </c>
      <c r="I60" s="2">
        <v>7.46</v>
      </c>
      <c r="J60" s="2">
        <v>18.18</v>
      </c>
      <c r="K60" s="2">
        <v>1.8</v>
      </c>
      <c r="L60" s="2">
        <v>0</v>
      </c>
      <c r="M60" s="2">
        <v>0</v>
      </c>
      <c r="N60" s="2">
        <v>18150.93</v>
      </c>
      <c r="O60" s="2">
        <v>18186.84</v>
      </c>
      <c r="P60" s="2">
        <v>2000</v>
      </c>
      <c r="Q60" s="2" t="str">
        <f>"E021635187"</f>
        <v>E021635187</v>
      </c>
      <c r="R60" s="2" t="str">
        <f t="shared" si="3"/>
        <v>人民币</v>
      </c>
      <c r="S60" s="2" t="str">
        <f>"1361000263"</f>
        <v>1361000263</v>
      </c>
    </row>
    <row r="61" spans="1:18">
      <c r="A61" s="2" t="str">
        <f t="shared" si="34"/>
        <v>20141021</v>
      </c>
      <c r="D61" s="2" t="str">
        <f t="shared" si="33"/>
        <v>偿还融资负债本金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-11254.3</v>
      </c>
      <c r="O61" s="2">
        <v>6932.54</v>
      </c>
      <c r="P61" s="2">
        <v>0</v>
      </c>
      <c r="R61" s="2" t="str">
        <f t="shared" si="3"/>
        <v>人民币</v>
      </c>
    </row>
    <row r="62" spans="1:18">
      <c r="A62" s="2" t="str">
        <f t="shared" si="34"/>
        <v>20141021</v>
      </c>
      <c r="D62" s="2" t="str">
        <f>"偿还融资利息"</f>
        <v>偿还融资利息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-2.69</v>
      </c>
      <c r="O62" s="2">
        <v>6929.85</v>
      </c>
      <c r="P62" s="2">
        <v>0</v>
      </c>
      <c r="R62" s="2" t="str">
        <f t="shared" si="3"/>
        <v>人民币</v>
      </c>
    </row>
    <row r="63" spans="1:18">
      <c r="A63" s="2" t="str">
        <f t="shared" si="34"/>
        <v>20141021</v>
      </c>
      <c r="D63" s="2" t="str">
        <f t="shared" si="33"/>
        <v>偿还融资负债本金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-6844.13</v>
      </c>
      <c r="O63" s="2">
        <v>85.72</v>
      </c>
      <c r="P63" s="2">
        <v>0</v>
      </c>
      <c r="R63" s="2" t="str">
        <f t="shared" si="3"/>
        <v>人民币</v>
      </c>
    </row>
    <row r="64" spans="1:18">
      <c r="A64" s="2" t="str">
        <f t="shared" si="34"/>
        <v>20141021</v>
      </c>
      <c r="D64" s="2" t="str">
        <f>"偿还融资利息"</f>
        <v>偿还融资利息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-4.36</v>
      </c>
      <c r="O64" s="2">
        <v>81.36</v>
      </c>
      <c r="P64" s="2">
        <v>0</v>
      </c>
      <c r="R64" s="2" t="str">
        <f t="shared" si="3"/>
        <v>人民币</v>
      </c>
    </row>
    <row r="65" spans="1:19">
      <c r="A65" s="2" t="str">
        <f t="shared" ref="A65:A68" si="35">"20141022"</f>
        <v>20141022</v>
      </c>
      <c r="B65" s="2" t="str">
        <f>"600664"</f>
        <v>600664</v>
      </c>
      <c r="C65" s="2" t="str">
        <f>"哈药股份"</f>
        <v>哈药股份</v>
      </c>
      <c r="D65" s="2" t="str">
        <f t="shared" ref="D65:D69" si="36">"融资买入"</f>
        <v>融资买入</v>
      </c>
      <c r="E65" s="2">
        <v>7.51</v>
      </c>
      <c r="F65" s="2">
        <v>1000</v>
      </c>
      <c r="G65" s="2">
        <v>7510</v>
      </c>
      <c r="H65" s="2">
        <v>8.26</v>
      </c>
      <c r="I65" s="2">
        <v>7.59</v>
      </c>
      <c r="J65" s="2">
        <v>0</v>
      </c>
      <c r="K65" s="2">
        <v>0.6</v>
      </c>
      <c r="L65" s="2">
        <v>0</v>
      </c>
      <c r="M65" s="2">
        <v>0</v>
      </c>
      <c r="N65" s="2">
        <v>-7518.86</v>
      </c>
      <c r="O65" s="2">
        <v>-7437.5</v>
      </c>
      <c r="P65" s="2">
        <v>1000</v>
      </c>
      <c r="Q65" s="2" t="str">
        <f t="shared" ref="Q65:Q71" si="37">"E021635187"</f>
        <v>E021635187</v>
      </c>
      <c r="R65" s="2" t="str">
        <f t="shared" si="3"/>
        <v>人民币</v>
      </c>
      <c r="S65" s="2" t="str">
        <f>"1361000345"</f>
        <v>1361000345</v>
      </c>
    </row>
    <row r="66" spans="1:19">
      <c r="A66" s="2" t="str">
        <f t="shared" si="35"/>
        <v>20141022</v>
      </c>
      <c r="B66" s="2" t="str">
        <f t="shared" ref="B66:B71" si="38">"600467"</f>
        <v>600467</v>
      </c>
      <c r="C66" s="2" t="str">
        <f t="shared" ref="C66:C71" si="39">"好当家"</f>
        <v>好当家</v>
      </c>
      <c r="D66" s="2" t="str">
        <f t="shared" si="36"/>
        <v>融资买入</v>
      </c>
      <c r="E66" s="2">
        <v>5.94</v>
      </c>
      <c r="F66" s="2">
        <v>1000</v>
      </c>
      <c r="G66" s="2">
        <v>5940</v>
      </c>
      <c r="H66" s="2">
        <v>6.53</v>
      </c>
      <c r="I66" s="2">
        <v>5.99</v>
      </c>
      <c r="J66" s="2">
        <v>0</v>
      </c>
      <c r="K66" s="2">
        <v>0.6</v>
      </c>
      <c r="L66" s="2">
        <v>0</v>
      </c>
      <c r="M66" s="2">
        <v>0</v>
      </c>
      <c r="N66" s="2">
        <v>-5947.13</v>
      </c>
      <c r="O66" s="2">
        <v>-13384.63</v>
      </c>
      <c r="P66" s="2">
        <v>3000</v>
      </c>
      <c r="Q66" s="2" t="str">
        <f t="shared" si="37"/>
        <v>E021635187</v>
      </c>
      <c r="R66" s="2" t="str">
        <f t="shared" ref="R66:R129" si="40">"人民币"</f>
        <v>人民币</v>
      </c>
      <c r="S66" s="2" t="str">
        <f>"1361000353"</f>
        <v>1361000353</v>
      </c>
    </row>
    <row r="67" spans="1:19">
      <c r="A67" s="2" t="str">
        <f t="shared" si="35"/>
        <v>20141022</v>
      </c>
      <c r="D67" s="2" t="str">
        <f t="shared" ref="D67:D73" si="41">"融资借入"</f>
        <v>融资借入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5947.13</v>
      </c>
      <c r="O67" s="2">
        <v>-7437.5</v>
      </c>
      <c r="P67" s="2">
        <v>0</v>
      </c>
      <c r="R67" s="2" t="str">
        <f t="shared" si="40"/>
        <v>人民币</v>
      </c>
      <c r="S67" s="2" t="str">
        <f>"1361000353"</f>
        <v>1361000353</v>
      </c>
    </row>
    <row r="68" spans="1:19">
      <c r="A68" s="2" t="str">
        <f t="shared" si="35"/>
        <v>20141022</v>
      </c>
      <c r="D68" s="2" t="str">
        <f t="shared" si="41"/>
        <v>融资借入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7518.86</v>
      </c>
      <c r="O68" s="2">
        <v>81.36</v>
      </c>
      <c r="P68" s="2">
        <v>0</v>
      </c>
      <c r="R68" s="2" t="str">
        <f t="shared" si="40"/>
        <v>人民币</v>
      </c>
      <c r="S68" s="2" t="str">
        <f>"1361000345"</f>
        <v>1361000345</v>
      </c>
    </row>
    <row r="69" spans="1:19">
      <c r="A69" s="2" t="str">
        <f t="shared" ref="A69:A75" si="42">"20141023"</f>
        <v>20141023</v>
      </c>
      <c r="B69" s="2" t="str">
        <f t="shared" si="38"/>
        <v>600467</v>
      </c>
      <c r="C69" s="2" t="str">
        <f t="shared" si="39"/>
        <v>好当家</v>
      </c>
      <c r="D69" s="2" t="str">
        <f t="shared" si="36"/>
        <v>融资买入</v>
      </c>
      <c r="E69" s="2">
        <v>5.9</v>
      </c>
      <c r="F69" s="2">
        <v>2000</v>
      </c>
      <c r="G69" s="2">
        <v>11800</v>
      </c>
      <c r="H69" s="2">
        <v>12.98</v>
      </c>
      <c r="I69" s="2">
        <v>11.92</v>
      </c>
      <c r="J69" s="2">
        <v>0</v>
      </c>
      <c r="K69" s="2">
        <v>1.2</v>
      </c>
      <c r="L69" s="2">
        <v>0</v>
      </c>
      <c r="M69" s="2">
        <v>0</v>
      </c>
      <c r="N69" s="2">
        <v>-11814.18</v>
      </c>
      <c r="O69" s="2">
        <v>-11732.82</v>
      </c>
      <c r="P69" s="2">
        <v>5000</v>
      </c>
      <c r="Q69" s="2" t="str">
        <f t="shared" si="37"/>
        <v>E021635187</v>
      </c>
      <c r="R69" s="2" t="str">
        <f t="shared" si="40"/>
        <v>人民币</v>
      </c>
      <c r="S69" s="2" t="str">
        <f>"1361000065"</f>
        <v>1361000065</v>
      </c>
    </row>
    <row r="70" spans="1:19">
      <c r="A70" s="2" t="str">
        <f t="shared" si="42"/>
        <v>20141023</v>
      </c>
      <c r="B70" s="2" t="str">
        <f t="shared" si="38"/>
        <v>600467</v>
      </c>
      <c r="C70" s="2" t="str">
        <f t="shared" si="39"/>
        <v>好当家</v>
      </c>
      <c r="D70" s="2" t="str">
        <f>"卖券还款"</f>
        <v>卖券还款</v>
      </c>
      <c r="E70" s="2">
        <v>5.87</v>
      </c>
      <c r="F70" s="2">
        <v>1000</v>
      </c>
      <c r="G70" s="2">
        <v>5870</v>
      </c>
      <c r="H70" s="2">
        <v>6.46</v>
      </c>
      <c r="I70" s="2">
        <v>5.93</v>
      </c>
      <c r="J70" s="2">
        <v>5.87</v>
      </c>
      <c r="K70" s="2">
        <v>0.6</v>
      </c>
      <c r="L70" s="2">
        <v>0</v>
      </c>
      <c r="M70" s="2">
        <v>0</v>
      </c>
      <c r="N70" s="2">
        <v>5857.07</v>
      </c>
      <c r="O70" s="2">
        <v>-5875.75</v>
      </c>
      <c r="P70" s="2">
        <v>4000</v>
      </c>
      <c r="Q70" s="2" t="str">
        <f t="shared" si="37"/>
        <v>E021635187</v>
      </c>
      <c r="R70" s="2" t="str">
        <f t="shared" si="40"/>
        <v>人民币</v>
      </c>
      <c r="S70" s="2" t="str">
        <f t="shared" ref="S70:S75" si="43">"1361000121"</f>
        <v>1361000121</v>
      </c>
    </row>
    <row r="71" spans="1:19">
      <c r="A71" s="2" t="str">
        <f t="shared" si="42"/>
        <v>20141023</v>
      </c>
      <c r="B71" s="2" t="str">
        <f t="shared" si="38"/>
        <v>600467</v>
      </c>
      <c r="C71" s="2" t="str">
        <f t="shared" si="39"/>
        <v>好当家</v>
      </c>
      <c r="D71" s="2" t="str">
        <f>"融资买入"</f>
        <v>融资买入</v>
      </c>
      <c r="E71" s="2">
        <v>5.82</v>
      </c>
      <c r="F71" s="2">
        <v>1000</v>
      </c>
      <c r="G71" s="2">
        <v>5820</v>
      </c>
      <c r="H71" s="2">
        <v>6.4</v>
      </c>
      <c r="I71" s="2">
        <v>5.87</v>
      </c>
      <c r="J71" s="2">
        <v>0</v>
      </c>
      <c r="K71" s="2">
        <v>0.6</v>
      </c>
      <c r="L71" s="2">
        <v>0</v>
      </c>
      <c r="M71" s="2">
        <v>0</v>
      </c>
      <c r="N71" s="2">
        <v>-5827</v>
      </c>
      <c r="O71" s="2">
        <v>-11702.75</v>
      </c>
      <c r="P71" s="2">
        <v>5000</v>
      </c>
      <c r="Q71" s="2" t="str">
        <f t="shared" si="37"/>
        <v>E021635187</v>
      </c>
      <c r="R71" s="2" t="str">
        <f t="shared" si="40"/>
        <v>人民币</v>
      </c>
      <c r="S71" s="2" t="str">
        <f>"1361000155"</f>
        <v>1361000155</v>
      </c>
    </row>
    <row r="72" spans="1:19">
      <c r="A72" s="2" t="str">
        <f t="shared" si="42"/>
        <v>20141023</v>
      </c>
      <c r="D72" s="2" t="str">
        <f t="shared" si="41"/>
        <v>融资借入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11814.18</v>
      </c>
      <c r="O72" s="2">
        <v>111.43</v>
      </c>
      <c r="P72" s="2">
        <v>0</v>
      </c>
      <c r="R72" s="2" t="str">
        <f t="shared" si="40"/>
        <v>人民币</v>
      </c>
      <c r="S72" s="2" t="str">
        <f>"1361000065"</f>
        <v>1361000065</v>
      </c>
    </row>
    <row r="73" spans="1:19">
      <c r="A73" s="2" t="str">
        <f t="shared" si="42"/>
        <v>20141023</v>
      </c>
      <c r="D73" s="2" t="str">
        <f t="shared" si="41"/>
        <v>融资借入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5827</v>
      </c>
      <c r="O73" s="2">
        <v>5938.43</v>
      </c>
      <c r="P73" s="2">
        <v>0</v>
      </c>
      <c r="R73" s="2" t="str">
        <f t="shared" si="40"/>
        <v>人民币</v>
      </c>
      <c r="S73" s="2" t="str">
        <f>"1361000155"</f>
        <v>1361000155</v>
      </c>
    </row>
    <row r="74" spans="1:19">
      <c r="A74" s="2" t="str">
        <f t="shared" si="42"/>
        <v>20141023</v>
      </c>
      <c r="D74" s="2" t="str">
        <f t="shared" ref="D74:D79" si="44">"偿还融资利息"</f>
        <v>偿还融资利息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-5.46</v>
      </c>
      <c r="O74" s="2">
        <v>5932.97</v>
      </c>
      <c r="P74" s="2">
        <v>0</v>
      </c>
      <c r="R74" s="2" t="str">
        <f t="shared" si="40"/>
        <v>人民币</v>
      </c>
      <c r="S74" s="2" t="str">
        <f t="shared" si="43"/>
        <v>1361000121</v>
      </c>
    </row>
    <row r="75" spans="1:19">
      <c r="A75" s="2" t="str">
        <f t="shared" si="42"/>
        <v>20141023</v>
      </c>
      <c r="D75" s="2" t="str">
        <f t="shared" ref="D75:D80" si="45">"偿还融资负债本金"</f>
        <v>偿还融资负债本金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-5851.61</v>
      </c>
      <c r="O75" s="2">
        <v>81.36</v>
      </c>
      <c r="P75" s="2">
        <v>0</v>
      </c>
      <c r="R75" s="2" t="str">
        <f t="shared" si="40"/>
        <v>人民币</v>
      </c>
      <c r="S75" s="2" t="str">
        <f t="shared" si="43"/>
        <v>1361000121</v>
      </c>
    </row>
    <row r="76" spans="1:19">
      <c r="A76" s="2" t="str">
        <f t="shared" ref="A76:A80" si="46">"20141030"</f>
        <v>20141030</v>
      </c>
      <c r="B76" s="2" t="str">
        <f>"600664"</f>
        <v>600664</v>
      </c>
      <c r="C76" s="2" t="str">
        <f>"哈药股份"</f>
        <v>哈药股份</v>
      </c>
      <c r="D76" s="2" t="str">
        <f>"卖券还款"</f>
        <v>卖券还款</v>
      </c>
      <c r="E76" s="2">
        <v>7.7</v>
      </c>
      <c r="F76" s="2">
        <v>1000</v>
      </c>
      <c r="G76" s="2">
        <v>7700</v>
      </c>
      <c r="H76" s="2">
        <v>8.47</v>
      </c>
      <c r="I76" s="2">
        <v>7.78</v>
      </c>
      <c r="J76" s="2">
        <v>7.7</v>
      </c>
      <c r="K76" s="2">
        <v>0.6</v>
      </c>
      <c r="L76" s="2">
        <v>0</v>
      </c>
      <c r="M76" s="2">
        <v>0</v>
      </c>
      <c r="N76" s="2">
        <v>7683.23</v>
      </c>
      <c r="O76" s="2">
        <v>7764.59</v>
      </c>
      <c r="P76" s="2">
        <v>0</v>
      </c>
      <c r="Q76" s="2" t="str">
        <f>"E021635187"</f>
        <v>E021635187</v>
      </c>
      <c r="R76" s="2" t="str">
        <f t="shared" si="40"/>
        <v>人民币</v>
      </c>
      <c r="S76" s="2" t="str">
        <f t="shared" ref="S76:S80" si="47">"1361000561"</f>
        <v>1361000561</v>
      </c>
    </row>
    <row r="77" spans="1:19">
      <c r="A77" s="2" t="str">
        <f t="shared" si="46"/>
        <v>20141030</v>
      </c>
      <c r="D77" s="2" t="str">
        <f t="shared" si="44"/>
        <v>偿还融资利息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-9.31</v>
      </c>
      <c r="O77" s="2">
        <v>7755.28</v>
      </c>
      <c r="P77" s="2">
        <v>0</v>
      </c>
      <c r="R77" s="2" t="str">
        <f t="shared" si="40"/>
        <v>人民币</v>
      </c>
      <c r="S77" s="2" t="str">
        <f t="shared" si="47"/>
        <v>1361000561</v>
      </c>
    </row>
    <row r="78" spans="1:19">
      <c r="A78" s="2" t="str">
        <f t="shared" si="46"/>
        <v>20141030</v>
      </c>
      <c r="D78" s="2" t="str">
        <f t="shared" si="45"/>
        <v>偿还融资负债本金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-5566.12</v>
      </c>
      <c r="O78" s="2">
        <v>2189.16</v>
      </c>
      <c r="P78" s="2">
        <v>0</v>
      </c>
      <c r="R78" s="2" t="str">
        <f t="shared" si="40"/>
        <v>人民币</v>
      </c>
      <c r="S78" s="2" t="str">
        <f t="shared" si="47"/>
        <v>1361000561</v>
      </c>
    </row>
    <row r="79" spans="1:19">
      <c r="A79" s="2" t="str">
        <f t="shared" si="46"/>
        <v>20141030</v>
      </c>
      <c r="D79" s="2" t="str">
        <f t="shared" si="44"/>
        <v>偿还融资利息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-14.39</v>
      </c>
      <c r="O79" s="2">
        <v>2174.77</v>
      </c>
      <c r="P79" s="2">
        <v>0</v>
      </c>
      <c r="R79" s="2" t="str">
        <f t="shared" si="40"/>
        <v>人民币</v>
      </c>
      <c r="S79" s="2" t="str">
        <f t="shared" si="47"/>
        <v>1361000561</v>
      </c>
    </row>
    <row r="80" spans="1:19">
      <c r="A80" s="2" t="str">
        <f t="shared" si="46"/>
        <v>20141030</v>
      </c>
      <c r="D80" s="2" t="str">
        <f t="shared" si="45"/>
        <v>偿还融资负债本金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-2093.41</v>
      </c>
      <c r="O80" s="2">
        <v>81.36</v>
      </c>
      <c r="P80" s="2">
        <v>0</v>
      </c>
      <c r="R80" s="2" t="str">
        <f t="shared" si="40"/>
        <v>人民币</v>
      </c>
      <c r="S80" s="2" t="str">
        <f t="shared" si="47"/>
        <v>1361000561</v>
      </c>
    </row>
    <row r="81" spans="1:19">
      <c r="A81" s="2" t="str">
        <f t="shared" ref="A81:A87" si="48">"20141105"</f>
        <v>20141105</v>
      </c>
      <c r="B81" s="2" t="str">
        <f>"601607"</f>
        <v>601607</v>
      </c>
      <c r="C81" s="2" t="str">
        <f>"上海医药"</f>
        <v>上海医药</v>
      </c>
      <c r="D81" s="2" t="str">
        <f>"担保品卖出"</f>
        <v>担保品卖出</v>
      </c>
      <c r="E81" s="2">
        <v>14.41</v>
      </c>
      <c r="F81" s="2">
        <v>1000</v>
      </c>
      <c r="G81" s="2">
        <v>14410</v>
      </c>
      <c r="H81" s="2">
        <v>7.21</v>
      </c>
      <c r="I81" s="2">
        <v>5.92</v>
      </c>
      <c r="J81" s="2">
        <v>14.41</v>
      </c>
      <c r="K81" s="2">
        <v>0.6</v>
      </c>
      <c r="L81" s="2">
        <v>0</v>
      </c>
      <c r="M81" s="2">
        <v>0</v>
      </c>
      <c r="N81" s="2">
        <v>14387.78</v>
      </c>
      <c r="O81" s="2">
        <v>14469.14</v>
      </c>
      <c r="P81" s="2">
        <v>3900</v>
      </c>
      <c r="Q81" s="2" t="str">
        <f>"E021635187"</f>
        <v>E021635187</v>
      </c>
      <c r="R81" s="2" t="str">
        <f t="shared" si="40"/>
        <v>人民币</v>
      </c>
      <c r="S81" s="2" t="str">
        <f>"1361000267"</f>
        <v>1361000267</v>
      </c>
    </row>
    <row r="82" spans="1:18">
      <c r="A82" s="2" t="str">
        <f t="shared" si="48"/>
        <v>20141105</v>
      </c>
      <c r="D82" s="2" t="str">
        <f t="shared" ref="D82:D86" si="49">"偿还融资利息"</f>
        <v>偿还融资利息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-7.79</v>
      </c>
      <c r="O82" s="2">
        <v>14461.35</v>
      </c>
      <c r="P82" s="2">
        <v>0</v>
      </c>
      <c r="R82" s="2" t="str">
        <f t="shared" si="40"/>
        <v>人民币</v>
      </c>
    </row>
    <row r="83" spans="1:18">
      <c r="A83" s="2" t="str">
        <f t="shared" si="48"/>
        <v>20141105</v>
      </c>
      <c r="D83" s="2" t="str">
        <f t="shared" ref="D83:D87" si="50">"偿还融资负债本金"</f>
        <v>偿还融资负债本金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-5425.45</v>
      </c>
      <c r="O83" s="2">
        <v>9035.9</v>
      </c>
      <c r="P83" s="2">
        <v>0</v>
      </c>
      <c r="R83" s="2" t="str">
        <f t="shared" si="40"/>
        <v>人民币</v>
      </c>
    </row>
    <row r="84" spans="1:18">
      <c r="A84" s="2" t="str">
        <f t="shared" si="48"/>
        <v>20141105</v>
      </c>
      <c r="D84" s="2" t="str">
        <f t="shared" si="49"/>
        <v>偿还融资利息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-19.88</v>
      </c>
      <c r="O84" s="2">
        <v>9016.02</v>
      </c>
      <c r="P84" s="2">
        <v>0</v>
      </c>
      <c r="R84" s="2" t="str">
        <f t="shared" si="40"/>
        <v>人民币</v>
      </c>
    </row>
    <row r="85" spans="1:18">
      <c r="A85" s="2" t="str">
        <f t="shared" si="48"/>
        <v>20141105</v>
      </c>
      <c r="D85" s="2" t="str">
        <f t="shared" si="50"/>
        <v>偿还融资负债本金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-5947.13</v>
      </c>
      <c r="O85" s="2">
        <v>3068.89</v>
      </c>
      <c r="P85" s="2">
        <v>0</v>
      </c>
      <c r="R85" s="2" t="str">
        <f t="shared" si="40"/>
        <v>人民币</v>
      </c>
    </row>
    <row r="86" spans="1:18">
      <c r="A86" s="2" t="str">
        <f t="shared" si="48"/>
        <v>20141105</v>
      </c>
      <c r="D86" s="2" t="str">
        <f t="shared" si="49"/>
        <v>偿还融资利息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-36.66</v>
      </c>
      <c r="O86" s="2">
        <v>3032.23</v>
      </c>
      <c r="P86" s="2">
        <v>0</v>
      </c>
      <c r="R86" s="2" t="str">
        <f t="shared" si="40"/>
        <v>人民币</v>
      </c>
    </row>
    <row r="87" spans="1:18">
      <c r="A87" s="2" t="str">
        <f t="shared" si="48"/>
        <v>20141105</v>
      </c>
      <c r="D87" s="2" t="str">
        <f t="shared" si="50"/>
        <v>偿还融资负债本金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-2963.09</v>
      </c>
      <c r="O87" s="2">
        <v>69.14</v>
      </c>
      <c r="P87" s="2">
        <v>0</v>
      </c>
      <c r="R87" s="2" t="str">
        <f t="shared" si="40"/>
        <v>人民币</v>
      </c>
    </row>
    <row r="88" spans="1:19">
      <c r="A88" s="2" t="str">
        <f t="shared" ref="A88:A93" si="51">"20141106"</f>
        <v>20141106</v>
      </c>
      <c r="B88" s="2" t="str">
        <f>"600467"</f>
        <v>600467</v>
      </c>
      <c r="C88" s="2" t="str">
        <f>"好当家"</f>
        <v>好当家</v>
      </c>
      <c r="D88" s="2" t="str">
        <f>"卖券还款"</f>
        <v>卖券还款</v>
      </c>
      <c r="E88" s="2">
        <v>5.98</v>
      </c>
      <c r="F88" s="2">
        <v>3000</v>
      </c>
      <c r="G88" s="2">
        <v>17940</v>
      </c>
      <c r="H88" s="2">
        <v>19.73</v>
      </c>
      <c r="I88" s="2">
        <v>18.12</v>
      </c>
      <c r="J88" s="2">
        <v>17.94</v>
      </c>
      <c r="K88" s="2">
        <v>1.8</v>
      </c>
      <c r="L88" s="2">
        <v>0</v>
      </c>
      <c r="M88" s="2">
        <v>0</v>
      </c>
      <c r="N88" s="2">
        <v>17900.53</v>
      </c>
      <c r="O88" s="2">
        <v>17969.67</v>
      </c>
      <c r="P88" s="2">
        <v>2000</v>
      </c>
      <c r="Q88" s="2" t="str">
        <f>"E021635187"</f>
        <v>E021635187</v>
      </c>
      <c r="R88" s="2" t="str">
        <f t="shared" si="40"/>
        <v>人民币</v>
      </c>
      <c r="S88" s="2" t="str">
        <f t="shared" ref="S88:S93" si="52">"1361000212"</f>
        <v>1361000212</v>
      </c>
    </row>
    <row r="89" spans="1:19">
      <c r="A89" s="2" t="str">
        <f t="shared" si="51"/>
        <v>20141106</v>
      </c>
      <c r="B89" s="2" t="str">
        <f>"601607"</f>
        <v>601607</v>
      </c>
      <c r="C89" s="2" t="str">
        <f>"上海医药"</f>
        <v>上海医药</v>
      </c>
      <c r="D89" s="2" t="str">
        <f>"担保品卖出"</f>
        <v>担保品卖出</v>
      </c>
      <c r="E89" s="2">
        <v>14.36</v>
      </c>
      <c r="F89" s="2">
        <v>900</v>
      </c>
      <c r="G89" s="2">
        <v>12924</v>
      </c>
      <c r="H89" s="2">
        <v>6.46</v>
      </c>
      <c r="I89" s="2">
        <v>5.3</v>
      </c>
      <c r="J89" s="2">
        <v>12.92</v>
      </c>
      <c r="K89" s="2">
        <v>0.54</v>
      </c>
      <c r="L89" s="2">
        <v>0</v>
      </c>
      <c r="M89" s="2">
        <v>0</v>
      </c>
      <c r="N89" s="2">
        <v>12904.08</v>
      </c>
      <c r="O89" s="2">
        <v>30873.75</v>
      </c>
      <c r="P89" s="2">
        <v>3000</v>
      </c>
      <c r="Q89" s="2" t="str">
        <f>"E021635187"</f>
        <v>E021635187</v>
      </c>
      <c r="R89" s="2" t="str">
        <f t="shared" si="40"/>
        <v>人民币</v>
      </c>
      <c r="S89" s="2" t="str">
        <f>"1361000214"</f>
        <v>1361000214</v>
      </c>
    </row>
    <row r="90" spans="1:19">
      <c r="A90" s="2" t="str">
        <f t="shared" si="51"/>
        <v>20141106</v>
      </c>
      <c r="D90" s="2" t="str">
        <f>"偿还融资利息"</f>
        <v>偿还融资利息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-2.11</v>
      </c>
      <c r="O90" s="2">
        <v>30871.64</v>
      </c>
      <c r="P90" s="2">
        <v>0</v>
      </c>
      <c r="R90" s="2" t="str">
        <f t="shared" si="40"/>
        <v>人民币</v>
      </c>
      <c r="S90" s="2" t="str">
        <f t="shared" si="52"/>
        <v>1361000212</v>
      </c>
    </row>
    <row r="91" spans="1:19">
      <c r="A91" s="2" t="str">
        <f t="shared" si="51"/>
        <v>20141106</v>
      </c>
      <c r="D91" s="2" t="str">
        <f>"偿还融资负债本金"</f>
        <v>偿还融资负债本金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-8851.09</v>
      </c>
      <c r="O91" s="2">
        <v>22020.55</v>
      </c>
      <c r="P91" s="2">
        <v>0</v>
      </c>
      <c r="R91" s="2" t="str">
        <f t="shared" si="40"/>
        <v>人民币</v>
      </c>
      <c r="S91" s="2" t="str">
        <f t="shared" si="52"/>
        <v>1361000212</v>
      </c>
    </row>
    <row r="92" spans="1:19">
      <c r="A92" s="2" t="str">
        <f t="shared" si="51"/>
        <v>20141106</v>
      </c>
      <c r="D92" s="2" t="str">
        <f>"偿还融资利息"</f>
        <v>偿还融资利息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-19.46</v>
      </c>
      <c r="O92" s="2">
        <v>22001.09</v>
      </c>
      <c r="P92" s="2">
        <v>0</v>
      </c>
      <c r="R92" s="2" t="str">
        <f t="shared" si="40"/>
        <v>人民币</v>
      </c>
      <c r="S92" s="2" t="str">
        <f t="shared" si="52"/>
        <v>1361000212</v>
      </c>
    </row>
    <row r="93" spans="1:19">
      <c r="A93" s="2" t="str">
        <f t="shared" si="51"/>
        <v>20141106</v>
      </c>
      <c r="D93" s="2" t="str">
        <f>"偿还融资负债本金"</f>
        <v>偿还融资负债本金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-5827</v>
      </c>
      <c r="O93" s="2">
        <v>16174.09</v>
      </c>
      <c r="P93" s="2">
        <v>0</v>
      </c>
      <c r="R93" s="2" t="str">
        <f t="shared" si="40"/>
        <v>人民币</v>
      </c>
      <c r="S93" s="2" t="str">
        <f t="shared" si="52"/>
        <v>1361000212</v>
      </c>
    </row>
    <row r="94" spans="1:19">
      <c r="A94" s="2" t="str">
        <f>"20141107"</f>
        <v>20141107</v>
      </c>
      <c r="B94" s="2" t="str">
        <f>"000606"</f>
        <v>000606</v>
      </c>
      <c r="C94" s="2" t="str">
        <f>"青海明胶"</f>
        <v>青海明胶</v>
      </c>
      <c r="D94" s="2" t="str">
        <f t="shared" ref="D94:D97" si="53">"担保品卖出"</f>
        <v>担保品卖出</v>
      </c>
      <c r="E94" s="2">
        <v>7.12</v>
      </c>
      <c r="F94" s="2">
        <v>1500</v>
      </c>
      <c r="G94" s="2">
        <v>10680</v>
      </c>
      <c r="H94" s="2">
        <v>5.34</v>
      </c>
      <c r="I94" s="2">
        <v>4.11</v>
      </c>
      <c r="J94" s="2">
        <v>10.68</v>
      </c>
      <c r="K94" s="2">
        <v>0</v>
      </c>
      <c r="L94" s="2">
        <v>0</v>
      </c>
      <c r="M94" s="2">
        <v>0</v>
      </c>
      <c r="N94" s="2">
        <v>10663.98</v>
      </c>
      <c r="O94" s="2">
        <v>26838.07</v>
      </c>
      <c r="P94" s="2">
        <v>0</v>
      </c>
      <c r="Q94" s="2" t="str">
        <f>"0602175409"</f>
        <v>0602175409</v>
      </c>
      <c r="R94" s="2" t="str">
        <f t="shared" si="40"/>
        <v>人民币</v>
      </c>
      <c r="S94" s="2" t="str">
        <f>"T4000430"</f>
        <v>T4000430</v>
      </c>
    </row>
    <row r="95" spans="1:19">
      <c r="A95" s="2" t="str">
        <f t="shared" ref="A95:A97" si="54">"20141111"</f>
        <v>20141111</v>
      </c>
      <c r="B95" s="2" t="str">
        <f>"601166"</f>
        <v>601166</v>
      </c>
      <c r="C95" s="2" t="str">
        <f>"兴业银行"</f>
        <v>兴业银行</v>
      </c>
      <c r="D95" s="2" t="str">
        <f t="shared" si="53"/>
        <v>担保品卖出</v>
      </c>
      <c r="E95" s="2">
        <v>11.07</v>
      </c>
      <c r="F95" s="2">
        <v>800</v>
      </c>
      <c r="G95" s="2">
        <v>8856</v>
      </c>
      <c r="H95" s="2">
        <v>5</v>
      </c>
      <c r="I95" s="2">
        <v>4.2</v>
      </c>
      <c r="J95" s="2">
        <v>8.86</v>
      </c>
      <c r="K95" s="2">
        <v>0.48</v>
      </c>
      <c r="L95" s="2">
        <v>0</v>
      </c>
      <c r="M95" s="2">
        <v>0</v>
      </c>
      <c r="N95" s="2">
        <v>8841.66</v>
      </c>
      <c r="O95" s="2">
        <v>35679.73</v>
      </c>
      <c r="P95" s="2">
        <v>0</v>
      </c>
      <c r="Q95" s="2" t="str">
        <f t="shared" ref="Q95:Q102" si="55">"E021635187"</f>
        <v>E021635187</v>
      </c>
      <c r="R95" s="2" t="str">
        <f t="shared" si="40"/>
        <v>人民币</v>
      </c>
      <c r="S95" s="2" t="str">
        <f>"1361000106"</f>
        <v>1361000106</v>
      </c>
    </row>
    <row r="96" spans="1:19">
      <c r="A96" s="2" t="str">
        <f t="shared" si="54"/>
        <v>20141111</v>
      </c>
      <c r="B96" s="2" t="str">
        <f>"600467"</f>
        <v>600467</v>
      </c>
      <c r="C96" s="2" t="str">
        <f>"好当家"</f>
        <v>好当家</v>
      </c>
      <c r="D96" s="2" t="str">
        <f t="shared" ref="D96:D102" si="56">"担保品买入"</f>
        <v>担保品买入</v>
      </c>
      <c r="E96" s="2">
        <v>6.04</v>
      </c>
      <c r="F96" s="2">
        <v>2000</v>
      </c>
      <c r="G96" s="2">
        <v>12080</v>
      </c>
      <c r="H96" s="2">
        <v>6.04</v>
      </c>
      <c r="I96" s="2">
        <v>4.96</v>
      </c>
      <c r="J96" s="2">
        <v>0</v>
      </c>
      <c r="K96" s="2">
        <v>1.2</v>
      </c>
      <c r="L96" s="2">
        <v>0</v>
      </c>
      <c r="M96" s="2">
        <v>0</v>
      </c>
      <c r="N96" s="2">
        <v>-12087.24</v>
      </c>
      <c r="O96" s="2">
        <v>23592.49</v>
      </c>
      <c r="P96" s="2">
        <v>4000</v>
      </c>
      <c r="Q96" s="2" t="str">
        <f t="shared" si="55"/>
        <v>E021635187</v>
      </c>
      <c r="R96" s="2" t="str">
        <f t="shared" si="40"/>
        <v>人民币</v>
      </c>
      <c r="S96" s="2" t="str">
        <f>"1361000323"</f>
        <v>1361000323</v>
      </c>
    </row>
    <row r="97" spans="1:19">
      <c r="A97" s="2" t="str">
        <f t="shared" si="54"/>
        <v>20141111</v>
      </c>
      <c r="B97" s="2" t="str">
        <f>"600467"</f>
        <v>600467</v>
      </c>
      <c r="C97" s="2" t="str">
        <f>"好当家"</f>
        <v>好当家</v>
      </c>
      <c r="D97" s="2" t="str">
        <f t="shared" si="53"/>
        <v>担保品卖出</v>
      </c>
      <c r="E97" s="2">
        <v>6</v>
      </c>
      <c r="F97" s="2">
        <v>2000</v>
      </c>
      <c r="G97" s="2">
        <v>12000</v>
      </c>
      <c r="H97" s="2">
        <v>6</v>
      </c>
      <c r="I97" s="2">
        <v>4.92</v>
      </c>
      <c r="J97" s="2">
        <v>12</v>
      </c>
      <c r="K97" s="2">
        <v>1.2</v>
      </c>
      <c r="L97" s="2">
        <v>0</v>
      </c>
      <c r="M97" s="2">
        <v>0</v>
      </c>
      <c r="N97" s="2">
        <v>11980.8</v>
      </c>
      <c r="O97" s="2">
        <v>35573.29</v>
      </c>
      <c r="P97" s="2">
        <v>2000</v>
      </c>
      <c r="Q97" s="2" t="str">
        <f t="shared" si="55"/>
        <v>E021635187</v>
      </c>
      <c r="R97" s="2" t="str">
        <f t="shared" si="40"/>
        <v>人民币</v>
      </c>
      <c r="S97" s="2" t="str">
        <f>"1361000426"</f>
        <v>1361000426</v>
      </c>
    </row>
    <row r="98" spans="1:19">
      <c r="A98" s="2" t="str">
        <f>"20141113"</f>
        <v>20141113</v>
      </c>
      <c r="B98" s="2" t="str">
        <f t="shared" ref="B98:B101" si="57">"601607"</f>
        <v>601607</v>
      </c>
      <c r="C98" s="2" t="str">
        <f t="shared" ref="C98:C101" si="58">"上海医药"</f>
        <v>上海医药</v>
      </c>
      <c r="D98" s="2" t="str">
        <f t="shared" si="56"/>
        <v>担保品买入</v>
      </c>
      <c r="E98" s="2">
        <v>14.27</v>
      </c>
      <c r="F98" s="2">
        <v>500</v>
      </c>
      <c r="G98" s="2">
        <v>7135</v>
      </c>
      <c r="H98" s="2">
        <v>5</v>
      </c>
      <c r="I98" s="2">
        <v>4.36</v>
      </c>
      <c r="J98" s="2">
        <v>0</v>
      </c>
      <c r="K98" s="2">
        <v>0.3</v>
      </c>
      <c r="L98" s="2">
        <v>0</v>
      </c>
      <c r="M98" s="2">
        <v>0</v>
      </c>
      <c r="N98" s="2">
        <v>-7140.3</v>
      </c>
      <c r="O98" s="2">
        <v>28432.99</v>
      </c>
      <c r="P98" s="2">
        <v>3500</v>
      </c>
      <c r="Q98" s="2" t="str">
        <f t="shared" si="55"/>
        <v>E021635187</v>
      </c>
      <c r="R98" s="2" t="str">
        <f t="shared" si="40"/>
        <v>人民币</v>
      </c>
      <c r="S98" s="2" t="str">
        <f>"1361000227"</f>
        <v>1361000227</v>
      </c>
    </row>
    <row r="99" spans="1:19">
      <c r="A99" s="2" t="str">
        <f>"20141113"</f>
        <v>20141113</v>
      </c>
      <c r="B99" s="2" t="str">
        <f t="shared" si="57"/>
        <v>601607</v>
      </c>
      <c r="C99" s="2" t="str">
        <f t="shared" si="58"/>
        <v>上海医药</v>
      </c>
      <c r="D99" s="2" t="str">
        <f>"担保品卖出"</f>
        <v>担保品卖出</v>
      </c>
      <c r="E99" s="2">
        <v>14.16</v>
      </c>
      <c r="F99" s="2">
        <v>1000</v>
      </c>
      <c r="G99" s="2">
        <v>14160</v>
      </c>
      <c r="H99" s="2">
        <v>7.08</v>
      </c>
      <c r="I99" s="2">
        <v>5.81</v>
      </c>
      <c r="J99" s="2">
        <v>14.16</v>
      </c>
      <c r="K99" s="2">
        <v>0.6</v>
      </c>
      <c r="L99" s="2">
        <v>0</v>
      </c>
      <c r="M99" s="2">
        <v>0</v>
      </c>
      <c r="N99" s="2">
        <v>14138.16</v>
      </c>
      <c r="O99" s="2">
        <v>42571.15</v>
      </c>
      <c r="P99" s="2">
        <v>2500</v>
      </c>
      <c r="Q99" s="2" t="str">
        <f t="shared" si="55"/>
        <v>E021635187</v>
      </c>
      <c r="R99" s="2" t="str">
        <f t="shared" si="40"/>
        <v>人民币</v>
      </c>
      <c r="S99" s="2" t="str">
        <f>"1361000303"</f>
        <v>1361000303</v>
      </c>
    </row>
    <row r="100" spans="1:19">
      <c r="A100" s="2" t="str">
        <f>"20141119"</f>
        <v>20141119</v>
      </c>
      <c r="B100" s="2" t="str">
        <f t="shared" ref="B100:B105" si="59">"511990"</f>
        <v>511990</v>
      </c>
      <c r="C100" s="2" t="str">
        <f t="shared" ref="C100:C105" si="60">"华宝添益"</f>
        <v>华宝添益</v>
      </c>
      <c r="D100" s="2" t="str">
        <f t="shared" si="56"/>
        <v>担保品买入</v>
      </c>
      <c r="E100" s="2">
        <v>99.981</v>
      </c>
      <c r="F100" s="2">
        <v>100</v>
      </c>
      <c r="G100" s="2">
        <v>9998.1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-9998.1</v>
      </c>
      <c r="O100" s="2">
        <v>32573.05</v>
      </c>
      <c r="P100" s="2">
        <v>100</v>
      </c>
      <c r="Q100" s="2" t="str">
        <f t="shared" si="55"/>
        <v>E021635187</v>
      </c>
      <c r="R100" s="2" t="str">
        <f t="shared" si="40"/>
        <v>人民币</v>
      </c>
      <c r="S100" s="2" t="str">
        <f>"1361000150"</f>
        <v>1361000150</v>
      </c>
    </row>
    <row r="101" spans="1:19">
      <c r="A101" s="2" t="str">
        <f>"20141120"</f>
        <v>20141120</v>
      </c>
      <c r="B101" s="2" t="str">
        <f t="shared" si="57"/>
        <v>601607</v>
      </c>
      <c r="C101" s="2" t="str">
        <f t="shared" si="58"/>
        <v>上海医药</v>
      </c>
      <c r="D101" s="2" t="str">
        <f t="shared" si="56"/>
        <v>担保品买入</v>
      </c>
      <c r="E101" s="2">
        <v>14.38</v>
      </c>
      <c r="F101" s="2">
        <v>500</v>
      </c>
      <c r="G101" s="2">
        <v>7190</v>
      </c>
      <c r="H101" s="2">
        <v>5</v>
      </c>
      <c r="I101" s="2">
        <v>4.36</v>
      </c>
      <c r="J101" s="2">
        <v>0</v>
      </c>
      <c r="K101" s="2">
        <v>0.3</v>
      </c>
      <c r="L101" s="2">
        <v>0</v>
      </c>
      <c r="M101" s="2">
        <v>0</v>
      </c>
      <c r="N101" s="2">
        <v>-7195.3</v>
      </c>
      <c r="O101" s="2">
        <v>25377.75</v>
      </c>
      <c r="P101" s="2">
        <v>3000</v>
      </c>
      <c r="Q101" s="2" t="str">
        <f t="shared" si="55"/>
        <v>E021635187</v>
      </c>
      <c r="R101" s="2" t="str">
        <f t="shared" si="40"/>
        <v>人民币</v>
      </c>
      <c r="S101" s="2" t="str">
        <f>"1361000246"</f>
        <v>1361000246</v>
      </c>
    </row>
    <row r="102" spans="1:19">
      <c r="A102" s="2" t="str">
        <f>"20141124"</f>
        <v>20141124</v>
      </c>
      <c r="B102" s="2" t="str">
        <f t="shared" si="59"/>
        <v>511990</v>
      </c>
      <c r="C102" s="2" t="str">
        <f t="shared" si="60"/>
        <v>华宝添益</v>
      </c>
      <c r="D102" s="2" t="str">
        <f t="shared" si="56"/>
        <v>担保品买入</v>
      </c>
      <c r="E102" s="2">
        <v>99.765</v>
      </c>
      <c r="F102" s="2">
        <v>200</v>
      </c>
      <c r="G102" s="2">
        <v>19953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-19953</v>
      </c>
      <c r="O102" s="2">
        <v>5424.75</v>
      </c>
      <c r="P102" s="2">
        <v>300</v>
      </c>
      <c r="Q102" s="2" t="str">
        <f t="shared" si="55"/>
        <v>E021635187</v>
      </c>
      <c r="R102" s="2" t="str">
        <f t="shared" si="40"/>
        <v>人民币</v>
      </c>
      <c r="S102" s="2" t="str">
        <f>"1361000153"</f>
        <v>1361000153</v>
      </c>
    </row>
    <row r="103" spans="1:19">
      <c r="A103" s="2" t="str">
        <f>"20141124"</f>
        <v>20141124</v>
      </c>
      <c r="B103" s="2" t="str">
        <f>"150181"</f>
        <v>150181</v>
      </c>
      <c r="C103" s="2" t="str">
        <f>"军工A"</f>
        <v>军工A</v>
      </c>
      <c r="D103" s="2" t="str">
        <f>"担保物转出"</f>
        <v>担保物转出</v>
      </c>
      <c r="E103" s="2">
        <v>0.88</v>
      </c>
      <c r="F103" s="2">
        <v>23454</v>
      </c>
      <c r="G103" s="2">
        <v>20639.52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5424.75</v>
      </c>
      <c r="P103" s="2">
        <v>0</v>
      </c>
      <c r="Q103" s="2" t="str">
        <f>"0602175409"</f>
        <v>0602175409</v>
      </c>
      <c r="R103" s="2" t="str">
        <f t="shared" si="40"/>
        <v>人民币</v>
      </c>
      <c r="S103" s="2" t="str">
        <f>"T4000375"</f>
        <v>T4000375</v>
      </c>
    </row>
    <row r="104" spans="1:19">
      <c r="A104" s="2" t="str">
        <f>"20141125"</f>
        <v>20141125</v>
      </c>
      <c r="B104" s="2" t="str">
        <f t="shared" si="59"/>
        <v>511990</v>
      </c>
      <c r="C104" s="2" t="str">
        <f t="shared" si="60"/>
        <v>华宝添益</v>
      </c>
      <c r="D104" s="2" t="str">
        <f>"担保物转出"</f>
        <v>担保物转出</v>
      </c>
      <c r="E104" s="2">
        <v>99.839</v>
      </c>
      <c r="F104" s="2">
        <v>300</v>
      </c>
      <c r="G104" s="2">
        <v>29951.7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5424.75</v>
      </c>
      <c r="P104" s="2">
        <v>0</v>
      </c>
      <c r="Q104" s="2" t="str">
        <f t="shared" ref="Q104:Q110" si="61">"E021635187"</f>
        <v>E021635187</v>
      </c>
      <c r="R104" s="2" t="str">
        <f t="shared" si="40"/>
        <v>人民币</v>
      </c>
      <c r="S104" s="2" t="str">
        <f>"1361000541"</f>
        <v>1361000541</v>
      </c>
    </row>
    <row r="105" spans="1:18">
      <c r="A105" s="2" t="str">
        <f>"20141127"</f>
        <v>20141127</v>
      </c>
      <c r="B105" s="2" t="str">
        <f t="shared" si="59"/>
        <v>511990</v>
      </c>
      <c r="C105" s="2" t="str">
        <f t="shared" si="60"/>
        <v>华宝添益</v>
      </c>
      <c r="D105" s="2" t="str">
        <f>"ETF 申购退款"</f>
        <v>ETF 申购退款</v>
      </c>
      <c r="E105" s="2">
        <v>0</v>
      </c>
      <c r="F105" s="2">
        <v>0</v>
      </c>
      <c r="G105" s="2">
        <v>7.63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7.63</v>
      </c>
      <c r="O105" s="2">
        <v>5432.38</v>
      </c>
      <c r="P105" s="2">
        <v>0</v>
      </c>
      <c r="Q105" s="2" t="str">
        <f t="shared" si="61"/>
        <v>E021635187</v>
      </c>
      <c r="R105" s="2" t="str">
        <f t="shared" si="40"/>
        <v>人民币</v>
      </c>
    </row>
    <row r="106" spans="1:19">
      <c r="A106" s="2" t="str">
        <f t="shared" ref="A106:A116" si="62">"20141205"</f>
        <v>20141205</v>
      </c>
      <c r="B106" s="2" t="str">
        <f t="shared" ref="B106:B110" si="63">"601607"</f>
        <v>601607</v>
      </c>
      <c r="C106" s="2" t="str">
        <f t="shared" ref="C106:C110" si="64">"上海医药"</f>
        <v>上海医药</v>
      </c>
      <c r="D106" s="2" t="str">
        <f t="shared" ref="D106:D111" si="65">"融资买入"</f>
        <v>融资买入</v>
      </c>
      <c r="E106" s="2">
        <v>16.54</v>
      </c>
      <c r="F106" s="2">
        <v>1000</v>
      </c>
      <c r="G106" s="2">
        <v>16540</v>
      </c>
      <c r="H106" s="2">
        <v>18.19</v>
      </c>
      <c r="I106" s="2">
        <v>16.71</v>
      </c>
      <c r="J106" s="2">
        <v>0</v>
      </c>
      <c r="K106" s="2">
        <v>0.6</v>
      </c>
      <c r="L106" s="2">
        <v>0</v>
      </c>
      <c r="M106" s="2">
        <v>0</v>
      </c>
      <c r="N106" s="2">
        <v>-16558.79</v>
      </c>
      <c r="O106" s="2">
        <v>-11126.41</v>
      </c>
      <c r="P106" s="2">
        <v>4000</v>
      </c>
      <c r="Q106" s="2" t="str">
        <f t="shared" si="61"/>
        <v>E021635187</v>
      </c>
      <c r="R106" s="2" t="str">
        <f t="shared" si="40"/>
        <v>人民币</v>
      </c>
      <c r="S106" s="2" t="str">
        <f>"1361000230"</f>
        <v>1361000230</v>
      </c>
    </row>
    <row r="107" spans="1:19">
      <c r="A107" s="2" t="str">
        <f t="shared" si="62"/>
        <v>20141205</v>
      </c>
      <c r="B107" s="2" t="str">
        <f t="shared" si="63"/>
        <v>601607</v>
      </c>
      <c r="C107" s="2" t="str">
        <f t="shared" si="64"/>
        <v>上海医药</v>
      </c>
      <c r="D107" s="2" t="str">
        <f t="shared" si="65"/>
        <v>融资买入</v>
      </c>
      <c r="E107" s="2">
        <v>16.71</v>
      </c>
      <c r="F107" s="2">
        <v>1000</v>
      </c>
      <c r="G107" s="2">
        <v>16710</v>
      </c>
      <c r="H107" s="2">
        <v>18.38</v>
      </c>
      <c r="I107" s="2">
        <v>16.89</v>
      </c>
      <c r="J107" s="2">
        <v>0</v>
      </c>
      <c r="K107" s="2">
        <v>0.6</v>
      </c>
      <c r="L107" s="2">
        <v>0</v>
      </c>
      <c r="M107" s="2">
        <v>0</v>
      </c>
      <c r="N107" s="2">
        <v>-16728.98</v>
      </c>
      <c r="O107" s="2">
        <v>-27855.39</v>
      </c>
      <c r="P107" s="2">
        <v>5000</v>
      </c>
      <c r="Q107" s="2" t="str">
        <f t="shared" si="61"/>
        <v>E021635187</v>
      </c>
      <c r="R107" s="2" t="str">
        <f t="shared" si="40"/>
        <v>人民币</v>
      </c>
      <c r="S107" s="2" t="str">
        <f>"1361000236"</f>
        <v>1361000236</v>
      </c>
    </row>
    <row r="108" spans="1:19">
      <c r="A108" s="2" t="str">
        <f t="shared" si="62"/>
        <v>20141205</v>
      </c>
      <c r="B108" s="2" t="str">
        <f t="shared" si="63"/>
        <v>601607</v>
      </c>
      <c r="C108" s="2" t="str">
        <f t="shared" si="64"/>
        <v>上海医药</v>
      </c>
      <c r="D108" s="2" t="str">
        <f>"担保品卖出"</f>
        <v>担保品卖出</v>
      </c>
      <c r="E108" s="2">
        <v>16.4</v>
      </c>
      <c r="F108" s="2">
        <v>3000</v>
      </c>
      <c r="G108" s="2">
        <v>49200</v>
      </c>
      <c r="H108" s="2">
        <v>24.6</v>
      </c>
      <c r="I108" s="2">
        <v>20.2</v>
      </c>
      <c r="J108" s="2">
        <v>49.2</v>
      </c>
      <c r="K108" s="2">
        <v>1.8</v>
      </c>
      <c r="L108" s="2">
        <v>0</v>
      </c>
      <c r="M108" s="2">
        <v>0</v>
      </c>
      <c r="N108" s="2">
        <v>49124.4</v>
      </c>
      <c r="O108" s="2">
        <v>21269.01</v>
      </c>
      <c r="P108" s="2">
        <v>2000</v>
      </c>
      <c r="Q108" s="2" t="str">
        <f t="shared" si="61"/>
        <v>E021635187</v>
      </c>
      <c r="R108" s="2" t="str">
        <f t="shared" si="40"/>
        <v>人民币</v>
      </c>
      <c r="S108" s="2" t="str">
        <f>"1361000289"</f>
        <v>1361000289</v>
      </c>
    </row>
    <row r="109" spans="1:19">
      <c r="A109" s="2" t="str">
        <f t="shared" si="62"/>
        <v>20141205</v>
      </c>
      <c r="B109" s="2" t="str">
        <f t="shared" si="63"/>
        <v>601607</v>
      </c>
      <c r="C109" s="2" t="str">
        <f t="shared" si="64"/>
        <v>上海医药</v>
      </c>
      <c r="D109" s="2" t="str">
        <f>"担保品买入"</f>
        <v>担保品买入</v>
      </c>
      <c r="E109" s="2">
        <v>16.28</v>
      </c>
      <c r="F109" s="2">
        <v>500</v>
      </c>
      <c r="G109" s="2">
        <v>8140</v>
      </c>
      <c r="H109" s="2">
        <v>5</v>
      </c>
      <c r="I109" s="2">
        <v>4.27</v>
      </c>
      <c r="J109" s="2">
        <v>0</v>
      </c>
      <c r="K109" s="2">
        <v>0.3</v>
      </c>
      <c r="L109" s="2">
        <v>0</v>
      </c>
      <c r="M109" s="2">
        <v>0</v>
      </c>
      <c r="N109" s="2">
        <v>-8145.3</v>
      </c>
      <c r="O109" s="2">
        <v>13123.71</v>
      </c>
      <c r="P109" s="2">
        <v>2500</v>
      </c>
      <c r="Q109" s="2" t="str">
        <f t="shared" si="61"/>
        <v>E021635187</v>
      </c>
      <c r="R109" s="2" t="str">
        <f t="shared" si="40"/>
        <v>人民币</v>
      </c>
      <c r="S109" s="2" t="str">
        <f>"1361000314"</f>
        <v>1361000314</v>
      </c>
    </row>
    <row r="110" spans="1:19">
      <c r="A110" s="2" t="str">
        <f t="shared" si="62"/>
        <v>20141205</v>
      </c>
      <c r="B110" s="2" t="str">
        <f t="shared" si="63"/>
        <v>601607</v>
      </c>
      <c r="C110" s="2" t="str">
        <f t="shared" si="64"/>
        <v>上海医药</v>
      </c>
      <c r="D110" s="2" t="str">
        <f>"担保品买入"</f>
        <v>担保品买入</v>
      </c>
      <c r="E110" s="2">
        <v>15.93</v>
      </c>
      <c r="F110" s="2">
        <v>500</v>
      </c>
      <c r="G110" s="2">
        <v>7965</v>
      </c>
      <c r="H110" s="2">
        <v>5</v>
      </c>
      <c r="I110" s="2">
        <v>4.29</v>
      </c>
      <c r="J110" s="2">
        <v>0</v>
      </c>
      <c r="K110" s="2">
        <v>0.3</v>
      </c>
      <c r="L110" s="2">
        <v>0</v>
      </c>
      <c r="M110" s="2">
        <v>0</v>
      </c>
      <c r="N110" s="2">
        <v>-7970.3</v>
      </c>
      <c r="O110" s="2">
        <v>5153.41</v>
      </c>
      <c r="P110" s="2">
        <v>3000</v>
      </c>
      <c r="Q110" s="2" t="str">
        <f t="shared" si="61"/>
        <v>E021635187</v>
      </c>
      <c r="R110" s="2" t="str">
        <f t="shared" si="40"/>
        <v>人民币</v>
      </c>
      <c r="S110" s="2" t="str">
        <f>"1361000592"</f>
        <v>1361000592</v>
      </c>
    </row>
    <row r="111" spans="1:19">
      <c r="A111" s="2" t="str">
        <f t="shared" si="62"/>
        <v>20141205</v>
      </c>
      <c r="B111" s="2" t="str">
        <f>"000541"</f>
        <v>000541</v>
      </c>
      <c r="C111" s="2" t="str">
        <f>"佛山照明"</f>
        <v>佛山照明</v>
      </c>
      <c r="D111" s="2" t="str">
        <f t="shared" si="65"/>
        <v>融资买入</v>
      </c>
      <c r="E111" s="2">
        <v>10.63</v>
      </c>
      <c r="F111" s="2">
        <v>1000</v>
      </c>
      <c r="G111" s="2">
        <v>10630</v>
      </c>
      <c r="H111" s="2">
        <v>11.69</v>
      </c>
      <c r="I111" s="2">
        <v>10.45</v>
      </c>
      <c r="J111" s="2">
        <v>0</v>
      </c>
      <c r="K111" s="2">
        <v>0</v>
      </c>
      <c r="L111" s="2">
        <v>0</v>
      </c>
      <c r="M111" s="2">
        <v>0</v>
      </c>
      <c r="N111" s="2">
        <v>-10641.69</v>
      </c>
      <c r="O111" s="2">
        <v>-5488.28</v>
      </c>
      <c r="P111" s="2">
        <v>1000</v>
      </c>
      <c r="Q111" s="2" t="str">
        <f>"0602175409"</f>
        <v>0602175409</v>
      </c>
      <c r="R111" s="2" t="str">
        <f t="shared" si="40"/>
        <v>人民币</v>
      </c>
      <c r="S111" s="2" t="str">
        <f>"T4000505"</f>
        <v>T4000505</v>
      </c>
    </row>
    <row r="112" spans="1:19">
      <c r="A112" s="2" t="str">
        <f t="shared" si="62"/>
        <v>20141205</v>
      </c>
      <c r="D112" s="2" t="str">
        <f t="shared" ref="D112:D114" si="66">"融资借入"</f>
        <v>融资借入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10641.69</v>
      </c>
      <c r="O112" s="2">
        <v>5153.41</v>
      </c>
      <c r="P112" s="2">
        <v>0</v>
      </c>
      <c r="R112" s="2" t="str">
        <f t="shared" si="40"/>
        <v>人民币</v>
      </c>
      <c r="S112" s="2" t="str">
        <f>"T4000505"</f>
        <v>T4000505</v>
      </c>
    </row>
    <row r="113" spans="1:19">
      <c r="A113" s="2" t="str">
        <f t="shared" si="62"/>
        <v>20141205</v>
      </c>
      <c r="D113" s="2" t="str">
        <f t="shared" si="66"/>
        <v>融资借入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16558.79</v>
      </c>
      <c r="O113" s="2">
        <v>21712.2</v>
      </c>
      <c r="P113" s="2">
        <v>0</v>
      </c>
      <c r="R113" s="2" t="str">
        <f t="shared" si="40"/>
        <v>人民币</v>
      </c>
      <c r="S113" s="2" t="str">
        <f>"1361000230"</f>
        <v>1361000230</v>
      </c>
    </row>
    <row r="114" spans="1:19">
      <c r="A114" s="2" t="str">
        <f t="shared" si="62"/>
        <v>20141205</v>
      </c>
      <c r="D114" s="2" t="str">
        <f t="shared" si="66"/>
        <v>融资借入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16728.98</v>
      </c>
      <c r="O114" s="2">
        <v>38441.18</v>
      </c>
      <c r="P114" s="2">
        <v>0</v>
      </c>
      <c r="R114" s="2" t="str">
        <f t="shared" si="40"/>
        <v>人民币</v>
      </c>
      <c r="S114" s="2" t="str">
        <f>"1361000236"</f>
        <v>1361000236</v>
      </c>
    </row>
    <row r="115" spans="1:18">
      <c r="A115" s="2" t="str">
        <f t="shared" si="62"/>
        <v>20141205</v>
      </c>
      <c r="D115" s="2" t="str">
        <f t="shared" ref="D115:D119" si="67">"偿还融资负债本金"</f>
        <v>偿还融资负债本金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-16558.79</v>
      </c>
      <c r="O115" s="2">
        <v>21882.39</v>
      </c>
      <c r="P115" s="2">
        <v>0</v>
      </c>
      <c r="R115" s="2" t="str">
        <f t="shared" si="40"/>
        <v>人民币</v>
      </c>
    </row>
    <row r="116" spans="1:18">
      <c r="A116" s="2" t="str">
        <f t="shared" si="62"/>
        <v>20141205</v>
      </c>
      <c r="D116" s="2" t="str">
        <f t="shared" si="67"/>
        <v>偿还融资负债本金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-16728.98</v>
      </c>
      <c r="O116" s="2">
        <v>5153.41</v>
      </c>
      <c r="P116" s="2">
        <v>0</v>
      </c>
      <c r="R116" s="2" t="str">
        <f t="shared" si="40"/>
        <v>人民币</v>
      </c>
    </row>
    <row r="117" spans="1:19">
      <c r="A117" s="2" t="str">
        <f t="shared" ref="A117:A119" si="68">"20141212"</f>
        <v>20141212</v>
      </c>
      <c r="B117" s="2" t="str">
        <f>"000541"</f>
        <v>000541</v>
      </c>
      <c r="C117" s="2" t="str">
        <f>"佛山照明"</f>
        <v>佛山照明</v>
      </c>
      <c r="D117" s="2" t="str">
        <f>"卖券还款"</f>
        <v>卖券还款</v>
      </c>
      <c r="E117" s="2">
        <v>11.04</v>
      </c>
      <c r="F117" s="2">
        <v>1000</v>
      </c>
      <c r="G117" s="2">
        <v>11040</v>
      </c>
      <c r="H117" s="2">
        <v>12.14</v>
      </c>
      <c r="I117" s="2">
        <v>10.87</v>
      </c>
      <c r="J117" s="2">
        <v>11.04</v>
      </c>
      <c r="K117" s="2">
        <v>0</v>
      </c>
      <c r="L117" s="2">
        <v>0</v>
      </c>
      <c r="M117" s="2">
        <v>0</v>
      </c>
      <c r="N117" s="2">
        <v>11016.82</v>
      </c>
      <c r="O117" s="2">
        <v>16170.23</v>
      </c>
      <c r="P117" s="2">
        <v>0</v>
      </c>
      <c r="Q117" s="2" t="str">
        <f>"0602175409"</f>
        <v>0602175409</v>
      </c>
      <c r="R117" s="2" t="str">
        <f t="shared" si="40"/>
        <v>人民币</v>
      </c>
      <c r="S117" s="2" t="str">
        <f t="shared" ref="S117:S119" si="69">"T4000165"</f>
        <v>T4000165</v>
      </c>
    </row>
    <row r="118" spans="1:19">
      <c r="A118" s="2" t="str">
        <f t="shared" si="68"/>
        <v>20141212</v>
      </c>
      <c r="D118" s="2" t="str">
        <f>"偿还融资利息"</f>
        <v>偿还融资利息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-17.78</v>
      </c>
      <c r="O118" s="2">
        <v>16152.45</v>
      </c>
      <c r="P118" s="2">
        <v>0</v>
      </c>
      <c r="R118" s="2" t="str">
        <f t="shared" si="40"/>
        <v>人民币</v>
      </c>
      <c r="S118" s="2" t="str">
        <f t="shared" si="69"/>
        <v>T4000165</v>
      </c>
    </row>
    <row r="119" spans="1:19">
      <c r="A119" s="2" t="str">
        <f t="shared" si="68"/>
        <v>20141212</v>
      </c>
      <c r="D119" s="2" t="str">
        <f t="shared" si="67"/>
        <v>偿还融资负债本金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-10641.69</v>
      </c>
      <c r="O119" s="2">
        <v>5510.76</v>
      </c>
      <c r="P119" s="2">
        <v>0</v>
      </c>
      <c r="R119" s="2" t="str">
        <f t="shared" si="40"/>
        <v>人民币</v>
      </c>
      <c r="S119" s="2" t="str">
        <f t="shared" si="69"/>
        <v>T4000165</v>
      </c>
    </row>
    <row r="120" spans="1:18">
      <c r="A120" s="2" t="str">
        <f t="shared" ref="A120:A122" si="70">"20141219"</f>
        <v>20141219</v>
      </c>
      <c r="D120" s="2" t="str">
        <f>"证券转银行"</f>
        <v>证券转银行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-5500</v>
      </c>
      <c r="O120" s="2">
        <v>10.76</v>
      </c>
      <c r="P120" s="2">
        <v>0</v>
      </c>
      <c r="R120" s="2" t="str">
        <f t="shared" si="40"/>
        <v>人民币</v>
      </c>
    </row>
    <row r="121" spans="1:18">
      <c r="A121" s="2" t="str">
        <f t="shared" si="70"/>
        <v>20141219</v>
      </c>
      <c r="D121" s="2" t="str">
        <f>"银行转证券"</f>
        <v>银行转证券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500</v>
      </c>
      <c r="O121" s="2">
        <v>510.76</v>
      </c>
      <c r="P121" s="2">
        <v>0</v>
      </c>
      <c r="R121" s="2" t="str">
        <f t="shared" si="40"/>
        <v>人民币</v>
      </c>
    </row>
    <row r="122" spans="1:18">
      <c r="A122" s="2" t="str">
        <f t="shared" si="70"/>
        <v>20141219</v>
      </c>
      <c r="D122" s="2" t="str">
        <f>"利息归本"</f>
        <v>利息归本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6.58</v>
      </c>
      <c r="O122" s="2">
        <v>517.34</v>
      </c>
      <c r="P122" s="2">
        <v>0</v>
      </c>
      <c r="R122" s="2" t="str">
        <f t="shared" si="40"/>
        <v>人民币</v>
      </c>
    </row>
    <row r="123" spans="1:19">
      <c r="A123" s="2" t="str">
        <f>"20141222"</f>
        <v>20141222</v>
      </c>
      <c r="B123" s="2" t="str">
        <f>"601179"</f>
        <v>601179</v>
      </c>
      <c r="C123" s="2" t="str">
        <f>"中国西电"</f>
        <v>中国西电</v>
      </c>
      <c r="D123" s="2" t="str">
        <f>"融资买入"</f>
        <v>融资买入</v>
      </c>
      <c r="E123" s="2">
        <v>8.47</v>
      </c>
      <c r="F123" s="2">
        <v>1000</v>
      </c>
      <c r="G123" s="2">
        <v>8470</v>
      </c>
      <c r="H123" s="2">
        <v>9.32</v>
      </c>
      <c r="I123" s="2">
        <v>8.56</v>
      </c>
      <c r="J123" s="2">
        <v>0</v>
      </c>
      <c r="K123" s="2">
        <v>0.6</v>
      </c>
      <c r="L123" s="2">
        <v>0</v>
      </c>
      <c r="M123" s="2">
        <v>0</v>
      </c>
      <c r="N123" s="2">
        <v>-8479.92</v>
      </c>
      <c r="O123" s="2">
        <v>-7962.58</v>
      </c>
      <c r="P123" s="2">
        <v>1000</v>
      </c>
      <c r="Q123" s="2" t="str">
        <f>"E021635187"</f>
        <v>E021635187</v>
      </c>
      <c r="R123" s="2" t="str">
        <f t="shared" si="40"/>
        <v>人民币</v>
      </c>
      <c r="S123" s="2" t="str">
        <f>"1361000584"</f>
        <v>1361000584</v>
      </c>
    </row>
    <row r="124" spans="1:19">
      <c r="A124" s="2" t="str">
        <f>"20141222"</f>
        <v>20141222</v>
      </c>
      <c r="D124" s="2" t="str">
        <f>"融资借入"</f>
        <v>融资借入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8479.92</v>
      </c>
      <c r="O124" s="2">
        <v>517.34</v>
      </c>
      <c r="P124" s="2">
        <v>0</v>
      </c>
      <c r="R124" s="2" t="str">
        <f t="shared" si="40"/>
        <v>人民币</v>
      </c>
      <c r="S124" s="2" t="str">
        <f>"1361000584"</f>
        <v>1361000584</v>
      </c>
    </row>
    <row r="125" spans="1:19">
      <c r="A125" s="2" t="str">
        <f t="shared" ref="A125:A128" si="71">"20141226"</f>
        <v>20141226</v>
      </c>
      <c r="B125" s="2" t="str">
        <f>"601179"</f>
        <v>601179</v>
      </c>
      <c r="C125" s="2" t="str">
        <f>"中国西电"</f>
        <v>中国西电</v>
      </c>
      <c r="D125" s="2" t="str">
        <f>"卖券还款"</f>
        <v>卖券还款</v>
      </c>
      <c r="E125" s="2">
        <v>7.65</v>
      </c>
      <c r="F125" s="2">
        <v>1000</v>
      </c>
      <c r="G125" s="2">
        <v>7650</v>
      </c>
      <c r="H125" s="2">
        <v>8.42</v>
      </c>
      <c r="I125" s="2">
        <v>7.73</v>
      </c>
      <c r="J125" s="2">
        <v>7.66</v>
      </c>
      <c r="K125" s="2">
        <v>0.6</v>
      </c>
      <c r="L125" s="2">
        <v>0</v>
      </c>
      <c r="M125" s="2">
        <v>0</v>
      </c>
      <c r="N125" s="2">
        <v>7633.32</v>
      </c>
      <c r="O125" s="2">
        <v>8150.66</v>
      </c>
      <c r="P125" s="2">
        <v>0</v>
      </c>
      <c r="Q125" s="2" t="str">
        <f t="shared" ref="Q125:Q130" si="72">"E021635187"</f>
        <v>E021635187</v>
      </c>
      <c r="R125" s="2" t="str">
        <f t="shared" si="40"/>
        <v>人民币</v>
      </c>
      <c r="S125" s="2" t="str">
        <f t="shared" ref="S125:S128" si="73">"1361000518"</f>
        <v>1361000518</v>
      </c>
    </row>
    <row r="126" spans="1:18">
      <c r="A126" s="2" t="str">
        <f t="shared" si="71"/>
        <v>20141226</v>
      </c>
      <c r="D126" s="2" t="str">
        <f>"偿还融资负债本金"</f>
        <v>偿还融资负债本金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-517</v>
      </c>
      <c r="O126" s="2">
        <v>7633.66</v>
      </c>
      <c r="P126" s="2">
        <v>0</v>
      </c>
      <c r="R126" s="2" t="str">
        <f t="shared" si="40"/>
        <v>人民币</v>
      </c>
    </row>
    <row r="127" spans="1:19">
      <c r="A127" s="2" t="str">
        <f t="shared" si="71"/>
        <v>20141226</v>
      </c>
      <c r="D127" s="2" t="str">
        <f>"偿还融资利息"</f>
        <v>偿还融资利息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-8.12</v>
      </c>
      <c r="O127" s="2">
        <v>7625.54</v>
      </c>
      <c r="P127" s="2">
        <v>0</v>
      </c>
      <c r="R127" s="2" t="str">
        <f t="shared" si="40"/>
        <v>人民币</v>
      </c>
      <c r="S127" s="2" t="str">
        <f t="shared" si="73"/>
        <v>1361000518</v>
      </c>
    </row>
    <row r="128" spans="1:19">
      <c r="A128" s="2" t="str">
        <f t="shared" si="71"/>
        <v>20141226</v>
      </c>
      <c r="D128" s="2" t="str">
        <f>"偿还融资负债本金"</f>
        <v>偿还融资负债本金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-7625.2</v>
      </c>
      <c r="O128" s="2">
        <v>0.34</v>
      </c>
      <c r="P128" s="2">
        <v>0</v>
      </c>
      <c r="R128" s="2" t="str">
        <f t="shared" si="40"/>
        <v>人民币</v>
      </c>
      <c r="S128" s="2" t="str">
        <f t="shared" si="73"/>
        <v>1361000518</v>
      </c>
    </row>
    <row r="129" spans="1:19">
      <c r="A129" s="2" t="str">
        <f t="shared" ref="A129:A132" si="74">"20141230"</f>
        <v>20141230</v>
      </c>
      <c r="B129" s="2" t="str">
        <f>"600066"</f>
        <v>600066</v>
      </c>
      <c r="C129" s="2" t="str">
        <f>"宇通客车"</f>
        <v>宇通客车</v>
      </c>
      <c r="D129" s="2" t="str">
        <f>"融资买入"</f>
        <v>融资买入</v>
      </c>
      <c r="E129" s="2">
        <v>20.58</v>
      </c>
      <c r="F129" s="2">
        <v>500</v>
      </c>
      <c r="G129" s="2">
        <v>10290</v>
      </c>
      <c r="H129" s="2">
        <v>11.32</v>
      </c>
      <c r="I129" s="2">
        <v>10.39</v>
      </c>
      <c r="J129" s="2">
        <v>0</v>
      </c>
      <c r="K129" s="2">
        <v>0.3</v>
      </c>
      <c r="L129" s="2">
        <v>0</v>
      </c>
      <c r="M129" s="2">
        <v>0</v>
      </c>
      <c r="N129" s="2">
        <v>-10301.62</v>
      </c>
      <c r="O129" s="2">
        <v>-10301.28</v>
      </c>
      <c r="P129" s="2">
        <v>500</v>
      </c>
      <c r="Q129" s="2" t="str">
        <f t="shared" si="72"/>
        <v>E021635187</v>
      </c>
      <c r="R129" s="2" t="str">
        <f t="shared" si="40"/>
        <v>人民币</v>
      </c>
      <c r="S129" s="2" t="str">
        <f>"1361000256"</f>
        <v>1361000256</v>
      </c>
    </row>
    <row r="130" spans="1:19">
      <c r="A130" s="2" t="str">
        <f t="shared" si="74"/>
        <v>20141230</v>
      </c>
      <c r="B130" s="2" t="str">
        <f>"600066"</f>
        <v>600066</v>
      </c>
      <c r="C130" s="2" t="str">
        <f>"宇通客车"</f>
        <v>宇通客车</v>
      </c>
      <c r="D130" s="2" t="str">
        <f>"融资买入"</f>
        <v>融资买入</v>
      </c>
      <c r="E130" s="2">
        <v>20.53</v>
      </c>
      <c r="F130" s="2">
        <v>500</v>
      </c>
      <c r="G130" s="2">
        <v>10265</v>
      </c>
      <c r="H130" s="2">
        <v>11.29</v>
      </c>
      <c r="I130" s="2">
        <v>10.38</v>
      </c>
      <c r="J130" s="2">
        <v>0</v>
      </c>
      <c r="K130" s="2">
        <v>0.3</v>
      </c>
      <c r="L130" s="2">
        <v>0</v>
      </c>
      <c r="M130" s="2">
        <v>0</v>
      </c>
      <c r="N130" s="2">
        <v>-10276.59</v>
      </c>
      <c r="O130" s="2">
        <v>-20577.87</v>
      </c>
      <c r="P130" s="2">
        <v>1000</v>
      </c>
      <c r="Q130" s="2" t="str">
        <f t="shared" si="72"/>
        <v>E021635187</v>
      </c>
      <c r="R130" s="2" t="str">
        <f t="shared" ref="R130:R132" si="75">"人民币"</f>
        <v>人民币</v>
      </c>
      <c r="S130" s="2" t="str">
        <f>"1361000418"</f>
        <v>1361000418</v>
      </c>
    </row>
    <row r="131" spans="1:19">
      <c r="A131" s="2" t="str">
        <f t="shared" si="74"/>
        <v>20141230</v>
      </c>
      <c r="D131" s="2" t="str">
        <f>"融资借入"</f>
        <v>融资借入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10301.62</v>
      </c>
      <c r="O131" s="2">
        <v>-10276.25</v>
      </c>
      <c r="P131" s="2">
        <v>0</v>
      </c>
      <c r="R131" s="2" t="str">
        <f t="shared" si="75"/>
        <v>人民币</v>
      </c>
      <c r="S131" s="2" t="str">
        <f>"1361000256"</f>
        <v>1361000256</v>
      </c>
    </row>
    <row r="132" spans="1:19">
      <c r="A132" s="2" t="str">
        <f t="shared" si="74"/>
        <v>20141230</v>
      </c>
      <c r="D132" s="2" t="str">
        <f>"融资借入"</f>
        <v>融资借入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10276.59</v>
      </c>
      <c r="O132" s="2">
        <v>0.34</v>
      </c>
      <c r="P132" s="2">
        <v>0</v>
      </c>
      <c r="R132" s="2" t="str">
        <f t="shared" si="75"/>
        <v>人民币</v>
      </c>
      <c r="S132" s="2" t="str">
        <f>"1361000418"</f>
        <v>1361000418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82"/>
  <sheetViews>
    <sheetView topLeftCell="A56" workbookViewId="0">
      <selection activeCell="A2" sqref="A2:P82"/>
    </sheetView>
  </sheetViews>
  <sheetFormatPr defaultColWidth="9" defaultRowHeight="13.5"/>
  <cols>
    <col min="1" max="16384" width="9" style="2"/>
  </cols>
  <sheetData>
    <row r="1" spans="1:19">
      <c r="A1" s="2" t="str">
        <f>"交割日期"</f>
        <v>交割日期</v>
      </c>
      <c r="B1" s="2" t="str">
        <f>"证券代码"</f>
        <v>证券代码</v>
      </c>
      <c r="C1" s="2" t="str">
        <f>"证券名称"</f>
        <v>证券名称</v>
      </c>
      <c r="D1" s="2" t="str">
        <f>"业务名称"</f>
        <v>业务名称</v>
      </c>
      <c r="E1" s="2" t="str">
        <f>"成交价格"</f>
        <v>成交价格</v>
      </c>
      <c r="F1" s="2" t="str">
        <f>"成交数量"</f>
        <v>成交数量</v>
      </c>
      <c r="G1" s="2" t="str">
        <f>"成交金额"</f>
        <v>成交金额</v>
      </c>
      <c r="H1" s="2" t="str">
        <f>"手续费"</f>
        <v>手续费</v>
      </c>
      <c r="I1" s="2" t="str">
        <f>"净佣金"</f>
        <v>净佣金</v>
      </c>
      <c r="J1" s="2" t="str">
        <f>"印花税"</f>
        <v>印花税</v>
      </c>
      <c r="K1" s="2" t="str">
        <f>"过户费"</f>
        <v>过户费</v>
      </c>
      <c r="L1" s="2" t="str">
        <f>"结算费"</f>
        <v>结算费</v>
      </c>
      <c r="M1" s="2" t="str">
        <f>"其他费"</f>
        <v>其他费</v>
      </c>
      <c r="N1" s="2" t="str">
        <f>"发生金额"</f>
        <v>发生金额</v>
      </c>
      <c r="O1" s="2" t="str">
        <f>"剩余金额"</f>
        <v>剩余金额</v>
      </c>
      <c r="P1" s="2" t="str">
        <f>"证券数量"</f>
        <v>证券数量</v>
      </c>
      <c r="Q1" s="2" t="str">
        <f>"股东代码"</f>
        <v>股东代码</v>
      </c>
      <c r="R1" s="2" t="str">
        <f>"币种"</f>
        <v>币种</v>
      </c>
      <c r="S1" s="2" t="str">
        <f>"成交编号"</f>
        <v>成交编号</v>
      </c>
    </row>
    <row r="2" spans="1:18">
      <c r="A2" s="2" t="str">
        <f>"20150105"</f>
        <v>20150105</v>
      </c>
      <c r="D2" s="2" t="str">
        <f>"银行转证券"</f>
        <v>银行转证券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20000</v>
      </c>
      <c r="O2" s="2">
        <v>20000.34</v>
      </c>
      <c r="P2" s="2">
        <v>0</v>
      </c>
      <c r="R2" s="2" t="str">
        <f t="shared" ref="R2:R65" si="0">"人民币"</f>
        <v>人民币</v>
      </c>
    </row>
    <row r="3" spans="1:19">
      <c r="A3" s="2" t="str">
        <f t="shared" ref="A3:A11" si="1">"20150106"</f>
        <v>20150106</v>
      </c>
      <c r="B3" s="2" t="str">
        <f>"150181"</f>
        <v>150181</v>
      </c>
      <c r="C3" s="2" t="str">
        <f>"军工A"</f>
        <v>军工A</v>
      </c>
      <c r="D3" s="2" t="str">
        <f>"担保物转入"</f>
        <v>担保物转入</v>
      </c>
      <c r="E3" s="2">
        <v>0.8</v>
      </c>
      <c r="F3" s="2">
        <v>71634</v>
      </c>
      <c r="G3" s="2">
        <v>57307.2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20000.34</v>
      </c>
      <c r="P3" s="2">
        <v>71634</v>
      </c>
      <c r="Q3" s="2" t="str">
        <f>"0602175409"</f>
        <v>0602175409</v>
      </c>
      <c r="R3" s="2" t="str">
        <f t="shared" si="0"/>
        <v>人民币</v>
      </c>
      <c r="S3" s="2" t="str">
        <f>"sno:239948"</f>
        <v>sno:239948</v>
      </c>
    </row>
    <row r="4" spans="1:19">
      <c r="A4" s="2" t="str">
        <f t="shared" si="1"/>
        <v>20150106</v>
      </c>
      <c r="B4" s="2" t="str">
        <f>"000541"</f>
        <v>000541</v>
      </c>
      <c r="C4" s="2" t="str">
        <f>"佛山照明"</f>
        <v>佛山照明</v>
      </c>
      <c r="D4" s="2" t="str">
        <f>"担保品买入"</f>
        <v>担保品买入</v>
      </c>
      <c r="E4" s="2">
        <v>10.39</v>
      </c>
      <c r="F4" s="2">
        <v>1000</v>
      </c>
      <c r="G4" s="2">
        <v>10390</v>
      </c>
      <c r="H4" s="2">
        <v>5.2</v>
      </c>
      <c r="I4" s="2">
        <v>4</v>
      </c>
      <c r="J4" s="2">
        <v>0</v>
      </c>
      <c r="K4" s="2">
        <v>0</v>
      </c>
      <c r="L4" s="2">
        <v>0</v>
      </c>
      <c r="M4" s="2">
        <v>0</v>
      </c>
      <c r="N4" s="2">
        <v>-10395.2</v>
      </c>
      <c r="O4" s="2">
        <v>9605.14</v>
      </c>
      <c r="P4" s="2">
        <v>1000</v>
      </c>
      <c r="Q4" s="2" t="str">
        <f>"0602175409"</f>
        <v>0602175409</v>
      </c>
      <c r="R4" s="2" t="str">
        <f t="shared" si="0"/>
        <v>人民币</v>
      </c>
      <c r="S4" s="2" t="str">
        <f>"T4000155"</f>
        <v>T4000155</v>
      </c>
    </row>
    <row r="5" spans="1:19">
      <c r="A5" s="2" t="str">
        <f t="shared" si="1"/>
        <v>20150106</v>
      </c>
      <c r="B5" s="2" t="str">
        <f>"600467"</f>
        <v>600467</v>
      </c>
      <c r="C5" s="2" t="str">
        <f>"好当家"</f>
        <v>好当家</v>
      </c>
      <c r="D5" s="2" t="str">
        <f>"担保品卖出"</f>
        <v>担保品卖出</v>
      </c>
      <c r="E5" s="2">
        <v>6.53</v>
      </c>
      <c r="F5" s="2">
        <v>2000</v>
      </c>
      <c r="G5" s="2">
        <v>13060</v>
      </c>
      <c r="H5" s="2">
        <v>6.53</v>
      </c>
      <c r="I5" s="2">
        <v>5.36</v>
      </c>
      <c r="J5" s="2">
        <v>13.06</v>
      </c>
      <c r="K5" s="2">
        <v>1.2</v>
      </c>
      <c r="L5" s="2">
        <v>0</v>
      </c>
      <c r="M5" s="2">
        <v>0</v>
      </c>
      <c r="N5" s="2">
        <v>13039.21</v>
      </c>
      <c r="O5" s="2">
        <v>22644.35</v>
      </c>
      <c r="P5" s="2">
        <v>0</v>
      </c>
      <c r="Q5" s="2" t="str">
        <f>"E021635187"</f>
        <v>E021635187</v>
      </c>
      <c r="R5" s="2" t="str">
        <f t="shared" si="0"/>
        <v>人民币</v>
      </c>
      <c r="S5" s="2" t="str">
        <f>"1361000752"</f>
        <v>1361000752</v>
      </c>
    </row>
    <row r="6" spans="1:19">
      <c r="A6" s="2" t="str">
        <f t="shared" si="1"/>
        <v>20150106</v>
      </c>
      <c r="B6" s="2" t="str">
        <f>"600066"</f>
        <v>600066</v>
      </c>
      <c r="C6" s="2" t="str">
        <f>"宇通客车"</f>
        <v>宇通客车</v>
      </c>
      <c r="D6" s="2" t="str">
        <f>"担保品买入"</f>
        <v>担保品买入</v>
      </c>
      <c r="E6" s="2">
        <v>23.81</v>
      </c>
      <c r="F6" s="2">
        <v>900</v>
      </c>
      <c r="G6" s="2">
        <v>21429</v>
      </c>
      <c r="H6" s="2">
        <v>10.71</v>
      </c>
      <c r="I6" s="2">
        <v>8.79</v>
      </c>
      <c r="J6" s="2">
        <v>0</v>
      </c>
      <c r="K6" s="2">
        <v>0.54</v>
      </c>
      <c r="L6" s="2">
        <v>0</v>
      </c>
      <c r="M6" s="2">
        <v>0</v>
      </c>
      <c r="N6" s="2">
        <v>-21440.25</v>
      </c>
      <c r="O6" s="2">
        <v>1204.1</v>
      </c>
      <c r="P6" s="2">
        <v>1900</v>
      </c>
      <c r="Q6" s="2" t="str">
        <f>"E021635187"</f>
        <v>E021635187</v>
      </c>
      <c r="R6" s="2" t="str">
        <f t="shared" si="0"/>
        <v>人民币</v>
      </c>
      <c r="S6" s="2" t="str">
        <f>"1361000799"</f>
        <v>1361000799</v>
      </c>
    </row>
    <row r="7" spans="1:18">
      <c r="A7" s="2" t="str">
        <f t="shared" si="1"/>
        <v>20150106</v>
      </c>
      <c r="D7" s="2" t="str">
        <f>"偿还融资利息"</f>
        <v>偿还融资利息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-0.88</v>
      </c>
      <c r="O7" s="2">
        <v>1203.22</v>
      </c>
      <c r="P7" s="2">
        <v>0</v>
      </c>
      <c r="R7" s="2" t="str">
        <f t="shared" si="0"/>
        <v>人民币</v>
      </c>
    </row>
    <row r="8" spans="1:18">
      <c r="A8" s="2" t="str">
        <f t="shared" si="1"/>
        <v>20150106</v>
      </c>
      <c r="D8" s="2" t="str">
        <f t="shared" ref="D8:D11" si="2">"偿还融资负债本金"</f>
        <v>偿还融资负债本金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-336.84</v>
      </c>
      <c r="O8" s="2">
        <v>866.38</v>
      </c>
      <c r="P8" s="2">
        <v>0</v>
      </c>
      <c r="R8" s="2" t="str">
        <f t="shared" si="0"/>
        <v>人民币</v>
      </c>
    </row>
    <row r="9" spans="1:18">
      <c r="A9" s="2" t="str">
        <f t="shared" si="1"/>
        <v>20150106</v>
      </c>
      <c r="D9" s="2" t="str">
        <f t="shared" si="2"/>
        <v>偿还融资负债本金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-0.88</v>
      </c>
      <c r="O9" s="2">
        <v>865.5</v>
      </c>
      <c r="P9" s="2">
        <v>0</v>
      </c>
      <c r="R9" s="2" t="str">
        <f t="shared" si="0"/>
        <v>人民币</v>
      </c>
    </row>
    <row r="10" spans="1:18">
      <c r="A10" s="2" t="str">
        <f t="shared" si="1"/>
        <v>20150106</v>
      </c>
      <c r="D10" s="2" t="str">
        <f>"偿还融资利息"</f>
        <v>偿还融资利息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-17.22</v>
      </c>
      <c r="O10" s="2">
        <v>848.28</v>
      </c>
      <c r="P10" s="2">
        <v>0</v>
      </c>
      <c r="R10" s="2" t="str">
        <f t="shared" si="0"/>
        <v>人民币</v>
      </c>
    </row>
    <row r="11" spans="1:18">
      <c r="A11" s="2" t="str">
        <f t="shared" si="1"/>
        <v>20150106</v>
      </c>
      <c r="D11" s="2" t="str">
        <f t="shared" si="2"/>
        <v>偿还融资负债本金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-221.9</v>
      </c>
      <c r="O11" s="2">
        <v>626.38</v>
      </c>
      <c r="P11" s="2">
        <v>0</v>
      </c>
      <c r="R11" s="2" t="str">
        <f t="shared" si="0"/>
        <v>人民币</v>
      </c>
    </row>
    <row r="12" spans="1:19">
      <c r="A12" s="2" t="str">
        <f t="shared" ref="A12:A17" si="3">"20150107"</f>
        <v>20150107</v>
      </c>
      <c r="B12" s="2" t="str">
        <f>"600066"</f>
        <v>600066</v>
      </c>
      <c r="C12" s="2" t="str">
        <f>"宇通客车"</f>
        <v>宇通客车</v>
      </c>
      <c r="D12" s="2" t="str">
        <f>"卖券还款"</f>
        <v>卖券还款</v>
      </c>
      <c r="E12" s="2">
        <v>24.57</v>
      </c>
      <c r="F12" s="2">
        <v>900</v>
      </c>
      <c r="G12" s="2">
        <v>22113</v>
      </c>
      <c r="H12" s="2">
        <v>24.32</v>
      </c>
      <c r="I12" s="2">
        <v>22.34</v>
      </c>
      <c r="J12" s="2">
        <v>22.11</v>
      </c>
      <c r="K12" s="2">
        <v>0.54</v>
      </c>
      <c r="L12" s="2">
        <v>0</v>
      </c>
      <c r="M12" s="2">
        <v>0</v>
      </c>
      <c r="N12" s="2">
        <v>22066.03</v>
      </c>
      <c r="O12" s="2">
        <v>22692.41</v>
      </c>
      <c r="P12" s="2">
        <v>1000</v>
      </c>
      <c r="Q12" s="2" t="str">
        <f>"E021635187"</f>
        <v>E021635187</v>
      </c>
      <c r="R12" s="2" t="str">
        <f t="shared" si="0"/>
        <v>人民币</v>
      </c>
      <c r="S12" s="2" t="str">
        <f t="shared" ref="S12:S17" si="4">"1361000117"</f>
        <v>1361000117</v>
      </c>
    </row>
    <row r="13" spans="1:19">
      <c r="A13" s="2" t="str">
        <f t="shared" si="3"/>
        <v>20150107</v>
      </c>
      <c r="B13" s="2" t="str">
        <f>"000541"</f>
        <v>000541</v>
      </c>
      <c r="C13" s="2" t="str">
        <f>"佛山照明"</f>
        <v>佛山照明</v>
      </c>
      <c r="D13" s="2" t="str">
        <f>"担保品卖出"</f>
        <v>担保品卖出</v>
      </c>
      <c r="E13" s="2">
        <v>10.61</v>
      </c>
      <c r="F13" s="2">
        <v>1000</v>
      </c>
      <c r="G13" s="2">
        <v>10610</v>
      </c>
      <c r="H13" s="2">
        <v>5.31</v>
      </c>
      <c r="I13" s="2">
        <v>4.09</v>
      </c>
      <c r="J13" s="2">
        <v>10.61</v>
      </c>
      <c r="K13" s="2">
        <v>0</v>
      </c>
      <c r="L13" s="2">
        <v>0</v>
      </c>
      <c r="M13" s="2">
        <v>0</v>
      </c>
      <c r="N13" s="2">
        <v>10594.08</v>
      </c>
      <c r="O13" s="2">
        <v>33286.49</v>
      </c>
      <c r="P13" s="2">
        <v>0</v>
      </c>
      <c r="Q13" s="2" t="str">
        <f>"0602175409"</f>
        <v>0602175409</v>
      </c>
      <c r="R13" s="2" t="str">
        <f t="shared" si="0"/>
        <v>人民币</v>
      </c>
      <c r="S13" s="2" t="str">
        <f>"T4000341"</f>
        <v>T4000341</v>
      </c>
    </row>
    <row r="14" spans="1:19">
      <c r="A14" s="2" t="str">
        <f t="shared" si="3"/>
        <v>20150107</v>
      </c>
      <c r="D14" s="2" t="str">
        <f>"偿还融资利息"</f>
        <v>偿还融资利息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-2.41</v>
      </c>
      <c r="O14" s="2">
        <v>33284.08</v>
      </c>
      <c r="P14" s="2">
        <v>0</v>
      </c>
      <c r="R14" s="2" t="str">
        <f t="shared" si="0"/>
        <v>人民币</v>
      </c>
      <c r="S14" s="2" t="str">
        <f t="shared" si="4"/>
        <v>1361000117</v>
      </c>
    </row>
    <row r="15" spans="1:19">
      <c r="A15" s="2" t="str">
        <f t="shared" si="3"/>
        <v>20150107</v>
      </c>
      <c r="D15" s="2" t="str">
        <f>"偿还融资负债本金"</f>
        <v>偿还融资负债本金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-10079.72</v>
      </c>
      <c r="O15" s="2">
        <v>23204.36</v>
      </c>
      <c r="P15" s="2">
        <v>0</v>
      </c>
      <c r="R15" s="2" t="str">
        <f t="shared" si="0"/>
        <v>人民币</v>
      </c>
      <c r="S15" s="2" t="str">
        <f t="shared" si="4"/>
        <v>1361000117</v>
      </c>
    </row>
    <row r="16" spans="1:19">
      <c r="A16" s="2" t="str">
        <f t="shared" si="3"/>
        <v>20150107</v>
      </c>
      <c r="D16" s="2" t="str">
        <f>"偿还融资利息"</f>
        <v>偿还融资利息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-19.62</v>
      </c>
      <c r="O16" s="2">
        <v>23184.74</v>
      </c>
      <c r="P16" s="2">
        <v>0</v>
      </c>
      <c r="R16" s="2" t="str">
        <f t="shared" si="0"/>
        <v>人民币</v>
      </c>
      <c r="S16" s="2" t="str">
        <f t="shared" si="4"/>
        <v>1361000117</v>
      </c>
    </row>
    <row r="17" spans="1:19">
      <c r="A17" s="2" t="str">
        <f t="shared" si="3"/>
        <v>20150107</v>
      </c>
      <c r="D17" s="2" t="str">
        <f>"偿还融资负债本金"</f>
        <v>偿还融资负债本金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-10276.59</v>
      </c>
      <c r="O17" s="2">
        <v>12908.15</v>
      </c>
      <c r="P17" s="2">
        <v>0</v>
      </c>
      <c r="R17" s="2" t="str">
        <f t="shared" si="0"/>
        <v>人民币</v>
      </c>
      <c r="S17" s="2" t="str">
        <f t="shared" si="4"/>
        <v>1361000117</v>
      </c>
    </row>
    <row r="18" spans="1:19">
      <c r="A18" s="2" t="str">
        <f>"20150116"</f>
        <v>20150116</v>
      </c>
      <c r="B18" s="2" t="str">
        <f t="shared" ref="B18:B20" si="5">"000541"</f>
        <v>000541</v>
      </c>
      <c r="C18" s="2" t="str">
        <f t="shared" ref="C18:C20" si="6">"佛山照明"</f>
        <v>佛山照明</v>
      </c>
      <c r="D18" s="2" t="str">
        <f>"担保品买入"</f>
        <v>担保品买入</v>
      </c>
      <c r="E18" s="2">
        <v>10.51</v>
      </c>
      <c r="F18" s="2">
        <v>1000</v>
      </c>
      <c r="G18" s="2">
        <v>10510</v>
      </c>
      <c r="H18" s="2">
        <v>5.26</v>
      </c>
      <c r="I18" s="2">
        <v>4.05</v>
      </c>
      <c r="J18" s="2">
        <v>0</v>
      </c>
      <c r="K18" s="2">
        <v>0</v>
      </c>
      <c r="L18" s="2">
        <v>0</v>
      </c>
      <c r="M18" s="2">
        <v>0</v>
      </c>
      <c r="N18" s="2">
        <v>-10515.26</v>
      </c>
      <c r="O18" s="2">
        <v>2392.89</v>
      </c>
      <c r="P18" s="2">
        <v>1000</v>
      </c>
      <c r="Q18" s="2" t="str">
        <f t="shared" ref="Q18:Q20" si="7">"0602175409"</f>
        <v>0602175409</v>
      </c>
      <c r="R18" s="2" t="str">
        <f t="shared" si="0"/>
        <v>人民币</v>
      </c>
      <c r="S18" s="2" t="str">
        <f>"T4000064"</f>
        <v>T4000064</v>
      </c>
    </row>
    <row r="19" spans="1:19">
      <c r="A19" s="2" t="str">
        <f>"20150123"</f>
        <v>20150123</v>
      </c>
      <c r="B19" s="2" t="str">
        <f t="shared" si="5"/>
        <v>000541</v>
      </c>
      <c r="C19" s="2" t="str">
        <f t="shared" si="6"/>
        <v>佛山照明</v>
      </c>
      <c r="D19" s="2" t="str">
        <f>"担保品卖出"</f>
        <v>担保品卖出</v>
      </c>
      <c r="E19" s="2">
        <v>10.95</v>
      </c>
      <c r="F19" s="2">
        <v>1000</v>
      </c>
      <c r="G19" s="2">
        <v>10950</v>
      </c>
      <c r="H19" s="2">
        <v>5.48</v>
      </c>
      <c r="I19" s="2">
        <v>4.22</v>
      </c>
      <c r="J19" s="2">
        <v>10.95</v>
      </c>
      <c r="K19" s="2">
        <v>0</v>
      </c>
      <c r="L19" s="2">
        <v>0</v>
      </c>
      <c r="M19" s="2">
        <v>0</v>
      </c>
      <c r="N19" s="2">
        <v>10933.57</v>
      </c>
      <c r="O19" s="2">
        <v>13326.46</v>
      </c>
      <c r="P19" s="2">
        <v>0</v>
      </c>
      <c r="Q19" s="2" t="str">
        <f t="shared" si="7"/>
        <v>0602175409</v>
      </c>
      <c r="R19" s="2" t="str">
        <f t="shared" si="0"/>
        <v>人民币</v>
      </c>
      <c r="S19" s="2" t="str">
        <f>"T4000502"</f>
        <v>T4000502</v>
      </c>
    </row>
    <row r="20" spans="1:19">
      <c r="A20" s="2" t="str">
        <f>"20150129"</f>
        <v>20150129</v>
      </c>
      <c r="B20" s="2" t="str">
        <f t="shared" si="5"/>
        <v>000541</v>
      </c>
      <c r="C20" s="2" t="str">
        <f t="shared" si="6"/>
        <v>佛山照明</v>
      </c>
      <c r="D20" s="2" t="str">
        <f>"担保品买入"</f>
        <v>担保品买入</v>
      </c>
      <c r="E20" s="2">
        <v>11.16</v>
      </c>
      <c r="F20" s="2">
        <v>1000</v>
      </c>
      <c r="G20" s="2">
        <v>11160</v>
      </c>
      <c r="H20" s="2">
        <v>5.58</v>
      </c>
      <c r="I20" s="2">
        <v>4.3</v>
      </c>
      <c r="J20" s="2">
        <v>0</v>
      </c>
      <c r="K20" s="2">
        <v>0</v>
      </c>
      <c r="L20" s="2">
        <v>0</v>
      </c>
      <c r="M20" s="2">
        <v>0</v>
      </c>
      <c r="N20" s="2">
        <v>-11165.58</v>
      </c>
      <c r="O20" s="2">
        <v>2160.88</v>
      </c>
      <c r="P20" s="2">
        <v>1000</v>
      </c>
      <c r="Q20" s="2" t="str">
        <f t="shared" si="7"/>
        <v>0602175409</v>
      </c>
      <c r="R20" s="2" t="str">
        <f t="shared" si="0"/>
        <v>人民币</v>
      </c>
      <c r="S20" s="2" t="str">
        <f>"T4000120"</f>
        <v>T4000120</v>
      </c>
    </row>
    <row r="21" spans="1:19">
      <c r="A21" s="2" t="str">
        <f>"20150210"</f>
        <v>20150210</v>
      </c>
      <c r="B21" s="2" t="str">
        <f>"600219"</f>
        <v>600219</v>
      </c>
      <c r="C21" s="2" t="str">
        <f>"南山铝业"</f>
        <v>南山铝业</v>
      </c>
      <c r="D21" s="2" t="str">
        <f>"融资买入"</f>
        <v>融资买入</v>
      </c>
      <c r="E21" s="2">
        <v>8.06</v>
      </c>
      <c r="F21" s="2">
        <v>1000</v>
      </c>
      <c r="G21" s="2">
        <v>8060</v>
      </c>
      <c r="H21" s="2">
        <v>8.87</v>
      </c>
      <c r="I21" s="2">
        <v>8.15</v>
      </c>
      <c r="J21" s="2">
        <v>0</v>
      </c>
      <c r="K21" s="2">
        <v>0.6</v>
      </c>
      <c r="L21" s="2">
        <v>0</v>
      </c>
      <c r="M21" s="2">
        <v>0</v>
      </c>
      <c r="N21" s="2">
        <v>-8069.47</v>
      </c>
      <c r="O21" s="2">
        <v>-5908.59</v>
      </c>
      <c r="P21" s="2">
        <v>1000</v>
      </c>
      <c r="Q21" s="2" t="str">
        <f>"E021635187"</f>
        <v>E021635187</v>
      </c>
      <c r="R21" s="2" t="str">
        <f t="shared" si="0"/>
        <v>人民币</v>
      </c>
      <c r="S21" s="2" t="str">
        <f>"1361000342"</f>
        <v>1361000342</v>
      </c>
    </row>
    <row r="22" spans="1:19">
      <c r="A22" s="2" t="str">
        <f>"20150210"</f>
        <v>20150210</v>
      </c>
      <c r="D22" s="2" t="str">
        <f>"融资借入"</f>
        <v>融资借入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8069.47</v>
      </c>
      <c r="O22" s="2">
        <v>2160.88</v>
      </c>
      <c r="P22" s="2">
        <v>0</v>
      </c>
      <c r="R22" s="2" t="str">
        <f t="shared" si="0"/>
        <v>人民币</v>
      </c>
      <c r="S22" s="2" t="str">
        <f>"1361000342"</f>
        <v>1361000342</v>
      </c>
    </row>
    <row r="23" spans="1:18">
      <c r="A23" s="2" t="str">
        <f t="shared" ref="A23:A25" si="8">"20150211"</f>
        <v>20150211</v>
      </c>
      <c r="D23" s="2" t="str">
        <f>"银行转证券"</f>
        <v>银行转证券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8000</v>
      </c>
      <c r="O23" s="2">
        <v>10160.88</v>
      </c>
      <c r="P23" s="2">
        <v>0</v>
      </c>
      <c r="R23" s="2" t="str">
        <f t="shared" si="0"/>
        <v>人民币</v>
      </c>
    </row>
    <row r="24" spans="1:18">
      <c r="A24" s="2" t="str">
        <f t="shared" si="8"/>
        <v>20150211</v>
      </c>
      <c r="D24" s="2" t="str">
        <f>"偿还融资利息"</f>
        <v>偿还融资利息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-1.93</v>
      </c>
      <c r="O24" s="2">
        <v>10158.95</v>
      </c>
      <c r="P24" s="2">
        <v>0</v>
      </c>
      <c r="R24" s="2" t="str">
        <f t="shared" si="0"/>
        <v>人民币</v>
      </c>
    </row>
    <row r="25" spans="1:18">
      <c r="A25" s="2" t="str">
        <f t="shared" si="8"/>
        <v>20150211</v>
      </c>
      <c r="D25" s="2" t="str">
        <f>"偿还融资负债本金"</f>
        <v>偿还融资负债本金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-8069.47</v>
      </c>
      <c r="O25" s="2">
        <v>2089.48</v>
      </c>
      <c r="P25" s="2">
        <v>0</v>
      </c>
      <c r="R25" s="2" t="str">
        <f t="shared" si="0"/>
        <v>人民币</v>
      </c>
    </row>
    <row r="26" spans="1:19">
      <c r="A26" s="2" t="str">
        <f>"20150212"</f>
        <v>20150212</v>
      </c>
      <c r="B26" s="2" t="str">
        <f>"601179"</f>
        <v>601179</v>
      </c>
      <c r="C26" s="2" t="str">
        <f>"中国西电"</f>
        <v>中国西电</v>
      </c>
      <c r="D26" s="2" t="str">
        <f>"融资买入"</f>
        <v>融资买入</v>
      </c>
      <c r="E26" s="2">
        <v>6.4</v>
      </c>
      <c r="F26" s="2">
        <v>1000</v>
      </c>
      <c r="G26" s="2">
        <v>6400</v>
      </c>
      <c r="H26" s="2">
        <v>7.04</v>
      </c>
      <c r="I26" s="2">
        <v>6.46</v>
      </c>
      <c r="J26" s="2">
        <v>0</v>
      </c>
      <c r="K26" s="2">
        <v>0.6</v>
      </c>
      <c r="L26" s="2">
        <v>0</v>
      </c>
      <c r="M26" s="2">
        <v>0</v>
      </c>
      <c r="N26" s="2">
        <v>-6407.64</v>
      </c>
      <c r="O26" s="2">
        <v>-4318.16</v>
      </c>
      <c r="P26" s="2">
        <v>1000</v>
      </c>
      <c r="Q26" s="2" t="str">
        <f t="shared" ref="Q26:Q30" si="9">"E021635187"</f>
        <v>E021635187</v>
      </c>
      <c r="R26" s="2" t="str">
        <f t="shared" si="0"/>
        <v>人民币</v>
      </c>
      <c r="S26" s="2" t="str">
        <f>"1361000339"</f>
        <v>1361000339</v>
      </c>
    </row>
    <row r="27" spans="1:19">
      <c r="A27" s="2" t="str">
        <f>"20150212"</f>
        <v>20150212</v>
      </c>
      <c r="D27" s="2" t="str">
        <f>"融资借入"</f>
        <v>融资借入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6407.64</v>
      </c>
      <c r="O27" s="2">
        <v>2089.48</v>
      </c>
      <c r="P27" s="2">
        <v>0</v>
      </c>
      <c r="R27" s="2" t="str">
        <f t="shared" si="0"/>
        <v>人民币</v>
      </c>
      <c r="S27" s="2" t="str">
        <f>"1361000339"</f>
        <v>1361000339</v>
      </c>
    </row>
    <row r="28" spans="1:19">
      <c r="A28" s="2" t="str">
        <f>"20150213"</f>
        <v>20150213</v>
      </c>
      <c r="B28" s="2" t="str">
        <f>"601669"</f>
        <v>601669</v>
      </c>
      <c r="C28" s="2" t="str">
        <f>"中国电建"</f>
        <v>中国电建</v>
      </c>
      <c r="D28" s="2" t="str">
        <f>"融资买入"</f>
        <v>融资买入</v>
      </c>
      <c r="E28" s="2">
        <v>6.83</v>
      </c>
      <c r="F28" s="2">
        <v>1000</v>
      </c>
      <c r="G28" s="2">
        <v>6830</v>
      </c>
      <c r="H28" s="2">
        <v>7.51</v>
      </c>
      <c r="I28" s="2">
        <v>6.89</v>
      </c>
      <c r="J28" s="2">
        <v>0</v>
      </c>
      <c r="K28" s="2">
        <v>0.6</v>
      </c>
      <c r="L28" s="2">
        <v>0</v>
      </c>
      <c r="M28" s="2">
        <v>0</v>
      </c>
      <c r="N28" s="2">
        <v>-6838.11</v>
      </c>
      <c r="O28" s="2">
        <v>-4748.63</v>
      </c>
      <c r="P28" s="2">
        <v>1000</v>
      </c>
      <c r="Q28" s="2" t="str">
        <f t="shared" si="9"/>
        <v>E021635187</v>
      </c>
      <c r="R28" s="2" t="str">
        <f t="shared" si="0"/>
        <v>人民币</v>
      </c>
      <c r="S28" s="2" t="str">
        <f>"1361000497"</f>
        <v>1361000497</v>
      </c>
    </row>
    <row r="29" spans="1:19">
      <c r="A29" s="2" t="str">
        <f>"20150213"</f>
        <v>20150213</v>
      </c>
      <c r="D29" s="2" t="str">
        <f>"融资借入"</f>
        <v>融资借入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6838.11</v>
      </c>
      <c r="O29" s="2">
        <v>2089.48</v>
      </c>
      <c r="P29" s="2">
        <v>0</v>
      </c>
      <c r="R29" s="2" t="str">
        <f t="shared" si="0"/>
        <v>人民币</v>
      </c>
      <c r="S29" s="2" t="str">
        <f>"1361000497"</f>
        <v>1361000497</v>
      </c>
    </row>
    <row r="30" spans="1:19">
      <c r="A30" s="2" t="str">
        <f t="shared" ref="A30:A34" si="10">"20150216"</f>
        <v>20150216</v>
      </c>
      <c r="B30" s="2" t="str">
        <f>"601669"</f>
        <v>601669</v>
      </c>
      <c r="C30" s="2" t="str">
        <f>"中国电建"</f>
        <v>中国电建</v>
      </c>
      <c r="D30" s="2" t="str">
        <f>"卖券还款"</f>
        <v>卖券还款</v>
      </c>
      <c r="E30" s="2">
        <v>6.73</v>
      </c>
      <c r="F30" s="2">
        <v>1000</v>
      </c>
      <c r="G30" s="2">
        <v>6730</v>
      </c>
      <c r="H30" s="2">
        <v>7.4</v>
      </c>
      <c r="I30" s="2">
        <v>6.8</v>
      </c>
      <c r="J30" s="2">
        <v>6.73</v>
      </c>
      <c r="K30" s="2">
        <v>0.6</v>
      </c>
      <c r="L30" s="2">
        <v>0</v>
      </c>
      <c r="M30" s="2">
        <v>0</v>
      </c>
      <c r="N30" s="2">
        <v>6715.27</v>
      </c>
      <c r="O30" s="2">
        <v>8804.75</v>
      </c>
      <c r="P30" s="2">
        <v>0</v>
      </c>
      <c r="Q30" s="2" t="str">
        <f t="shared" si="9"/>
        <v>E021635187</v>
      </c>
      <c r="R30" s="2" t="str">
        <f t="shared" si="0"/>
        <v>人民币</v>
      </c>
      <c r="S30" s="2" t="str">
        <f t="shared" ref="S30:S34" si="11">"1361000066"</f>
        <v>1361000066</v>
      </c>
    </row>
    <row r="31" spans="1:19">
      <c r="A31" s="2" t="str">
        <f t="shared" si="10"/>
        <v>20150216</v>
      </c>
      <c r="D31" s="2" t="str">
        <f>"偿还融资利息"</f>
        <v>偿还融资利息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-6.12</v>
      </c>
      <c r="O31" s="2">
        <v>8798.63</v>
      </c>
      <c r="P31" s="2">
        <v>0</v>
      </c>
      <c r="R31" s="2" t="str">
        <f t="shared" si="0"/>
        <v>人民币</v>
      </c>
      <c r="S31" s="2" t="str">
        <f t="shared" si="11"/>
        <v>1361000066</v>
      </c>
    </row>
    <row r="32" spans="1:19">
      <c r="A32" s="2" t="str">
        <f t="shared" si="10"/>
        <v>20150216</v>
      </c>
      <c r="D32" s="2" t="str">
        <f>"偿还融资负债本金"</f>
        <v>偿还融资负债本金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-6407.64</v>
      </c>
      <c r="O32" s="2">
        <v>2390.99</v>
      </c>
      <c r="P32" s="2">
        <v>0</v>
      </c>
      <c r="R32" s="2" t="str">
        <f t="shared" si="0"/>
        <v>人民币</v>
      </c>
      <c r="S32" s="2" t="str">
        <f t="shared" si="11"/>
        <v>1361000066</v>
      </c>
    </row>
    <row r="33" spans="1:19">
      <c r="A33" s="2" t="str">
        <f t="shared" si="10"/>
        <v>20150216</v>
      </c>
      <c r="D33" s="2" t="str">
        <f>"偿还融资利息"</f>
        <v>偿还融资利息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-4.9</v>
      </c>
      <c r="O33" s="2">
        <v>2386.09</v>
      </c>
      <c r="P33" s="2">
        <v>0</v>
      </c>
      <c r="R33" s="2" t="str">
        <f t="shared" si="0"/>
        <v>人民币</v>
      </c>
      <c r="S33" s="2" t="str">
        <f t="shared" si="11"/>
        <v>1361000066</v>
      </c>
    </row>
    <row r="34" spans="1:19">
      <c r="A34" s="2" t="str">
        <f t="shared" si="10"/>
        <v>20150216</v>
      </c>
      <c r="D34" s="2" t="str">
        <f t="shared" ref="D34:D39" si="12">"偿还融资负债本金"</f>
        <v>偿还融资负债本金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-296.61</v>
      </c>
      <c r="O34" s="2">
        <v>2089.48</v>
      </c>
      <c r="P34" s="2">
        <v>0</v>
      </c>
      <c r="R34" s="2" t="str">
        <f t="shared" si="0"/>
        <v>人民币</v>
      </c>
      <c r="S34" s="2" t="str">
        <f t="shared" si="11"/>
        <v>1361000066</v>
      </c>
    </row>
    <row r="35" spans="1:19">
      <c r="A35" s="2" t="str">
        <f t="shared" ref="A35:A39" si="13">"20150217"</f>
        <v>20150217</v>
      </c>
      <c r="B35" s="2" t="str">
        <f>"601179"</f>
        <v>601179</v>
      </c>
      <c r="C35" s="2" t="str">
        <f>"中国西电"</f>
        <v>中国西电</v>
      </c>
      <c r="D35" s="2" t="str">
        <f>"卖券还款"</f>
        <v>卖券还款</v>
      </c>
      <c r="E35" s="2">
        <v>6.54</v>
      </c>
      <c r="F35" s="2">
        <v>1000</v>
      </c>
      <c r="G35" s="2">
        <v>6540</v>
      </c>
      <c r="H35" s="2">
        <v>7.19</v>
      </c>
      <c r="I35" s="2">
        <v>6.61</v>
      </c>
      <c r="J35" s="2">
        <v>6.54</v>
      </c>
      <c r="K35" s="2">
        <v>0.6</v>
      </c>
      <c r="L35" s="2">
        <v>0</v>
      </c>
      <c r="M35" s="2">
        <v>0</v>
      </c>
      <c r="N35" s="2">
        <v>6525.67</v>
      </c>
      <c r="O35" s="2">
        <v>8615.15</v>
      </c>
      <c r="P35" s="2">
        <v>0</v>
      </c>
      <c r="Q35" s="2" t="str">
        <f>"E021635187"</f>
        <v>E021635187</v>
      </c>
      <c r="R35" s="2" t="str">
        <f t="shared" si="0"/>
        <v>人民币</v>
      </c>
      <c r="S35" s="2" t="str">
        <f t="shared" ref="S35:S38" si="14">"1361000482"</f>
        <v>1361000482</v>
      </c>
    </row>
    <row r="36" spans="1:19">
      <c r="A36" s="2" t="str">
        <f t="shared" si="13"/>
        <v>20150217</v>
      </c>
      <c r="B36" s="2" t="str">
        <f>"000541"</f>
        <v>000541</v>
      </c>
      <c r="C36" s="2" t="str">
        <f>"佛山照明"</f>
        <v>佛山照明</v>
      </c>
      <c r="D36" s="2" t="str">
        <f>"卖券还款"</f>
        <v>卖券还款</v>
      </c>
      <c r="E36" s="2">
        <v>11.23</v>
      </c>
      <c r="F36" s="2">
        <v>1000</v>
      </c>
      <c r="G36" s="2">
        <v>11230</v>
      </c>
      <c r="H36" s="2">
        <v>12.35</v>
      </c>
      <c r="I36" s="2">
        <v>11.06</v>
      </c>
      <c r="J36" s="2">
        <v>11.23</v>
      </c>
      <c r="K36" s="2">
        <v>0</v>
      </c>
      <c r="L36" s="2">
        <v>0</v>
      </c>
      <c r="M36" s="2">
        <v>0</v>
      </c>
      <c r="N36" s="2">
        <v>11206.42</v>
      </c>
      <c r="O36" s="2">
        <v>19821.57</v>
      </c>
      <c r="P36" s="2">
        <v>0</v>
      </c>
      <c r="Q36" s="2" t="str">
        <f>"0602175409"</f>
        <v>0602175409</v>
      </c>
      <c r="R36" s="2" t="str">
        <f t="shared" si="0"/>
        <v>人民币</v>
      </c>
      <c r="S36" s="2" t="str">
        <f>"T4000332"</f>
        <v>T4000332</v>
      </c>
    </row>
    <row r="37" spans="1:19">
      <c r="A37" s="2" t="str">
        <f t="shared" si="13"/>
        <v>20150217</v>
      </c>
      <c r="D37" s="2" t="str">
        <f>"偿还融资利息"</f>
        <v>偿还融资利息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-1.56</v>
      </c>
      <c r="O37" s="2">
        <v>19820.01</v>
      </c>
      <c r="P37" s="2">
        <v>0</v>
      </c>
      <c r="R37" s="2" t="str">
        <f t="shared" si="0"/>
        <v>人民币</v>
      </c>
      <c r="S37" s="2" t="str">
        <f t="shared" si="14"/>
        <v>1361000482</v>
      </c>
    </row>
    <row r="38" spans="1:19">
      <c r="A38" s="2" t="str">
        <f t="shared" si="13"/>
        <v>20150217</v>
      </c>
      <c r="D38" s="2" t="str">
        <f t="shared" si="12"/>
        <v>偿还融资负债本金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-6524.11</v>
      </c>
      <c r="O38" s="2">
        <v>13295.9</v>
      </c>
      <c r="P38" s="2">
        <v>0</v>
      </c>
      <c r="R38" s="2" t="str">
        <f t="shared" si="0"/>
        <v>人民币</v>
      </c>
      <c r="S38" s="2" t="str">
        <f t="shared" si="14"/>
        <v>1361000482</v>
      </c>
    </row>
    <row r="39" spans="1:19">
      <c r="A39" s="2" t="str">
        <f t="shared" si="13"/>
        <v>20150217</v>
      </c>
      <c r="D39" s="2" t="str">
        <f t="shared" si="12"/>
        <v>偿还融资负债本金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-17.39</v>
      </c>
      <c r="O39" s="2">
        <v>13278.51</v>
      </c>
      <c r="P39" s="2">
        <v>0</v>
      </c>
      <c r="R39" s="2" t="str">
        <f t="shared" si="0"/>
        <v>人民币</v>
      </c>
      <c r="S39" s="2" t="str">
        <f>"T4000332"</f>
        <v>T4000332</v>
      </c>
    </row>
    <row r="40" spans="1:19">
      <c r="A40" s="2" t="str">
        <f>"20150303"</f>
        <v>20150303</v>
      </c>
      <c r="B40" s="2" t="str">
        <f>"601919"</f>
        <v>601919</v>
      </c>
      <c r="C40" s="2" t="str">
        <f>"中国远洋"</f>
        <v>中国远洋</v>
      </c>
      <c r="D40" s="2" t="str">
        <f t="shared" ref="D40:D44" si="15">"担保品买入"</f>
        <v>担保品买入</v>
      </c>
      <c r="E40" s="2">
        <v>6.28</v>
      </c>
      <c r="F40" s="2">
        <v>1000</v>
      </c>
      <c r="G40" s="2">
        <v>6280</v>
      </c>
      <c r="H40" s="2">
        <v>5</v>
      </c>
      <c r="I40" s="2">
        <v>4.43</v>
      </c>
      <c r="J40" s="2">
        <v>0</v>
      </c>
      <c r="K40" s="2">
        <v>0.6</v>
      </c>
      <c r="L40" s="2">
        <v>0</v>
      </c>
      <c r="M40" s="2">
        <v>0</v>
      </c>
      <c r="N40" s="2">
        <v>-6285.6</v>
      </c>
      <c r="O40" s="2">
        <v>6992.91</v>
      </c>
      <c r="P40" s="2">
        <v>1000</v>
      </c>
      <c r="Q40" s="2" t="str">
        <f t="shared" ref="Q40:Q50" si="16">"E021635187"</f>
        <v>E021635187</v>
      </c>
      <c r="R40" s="2" t="str">
        <f t="shared" si="0"/>
        <v>人民币</v>
      </c>
      <c r="S40" s="2" t="str">
        <f>"1361000619"</f>
        <v>1361000619</v>
      </c>
    </row>
    <row r="41" spans="1:19">
      <c r="A41" s="2" t="str">
        <f t="shared" ref="A41:A47" si="17">"20150305"</f>
        <v>20150305</v>
      </c>
      <c r="B41" s="2" t="str">
        <f>"600066"</f>
        <v>600066</v>
      </c>
      <c r="C41" s="2" t="str">
        <f>"宇通客车"</f>
        <v>宇通客车</v>
      </c>
      <c r="D41" s="2" t="str">
        <f t="shared" ref="D41:D45" si="18">"担保品卖出"</f>
        <v>担保品卖出</v>
      </c>
      <c r="E41" s="2">
        <v>27.39</v>
      </c>
      <c r="F41" s="2">
        <v>900</v>
      </c>
      <c r="G41" s="2">
        <v>24651</v>
      </c>
      <c r="H41" s="2">
        <v>12.33</v>
      </c>
      <c r="I41" s="2">
        <v>10.13</v>
      </c>
      <c r="J41" s="2">
        <v>24.65</v>
      </c>
      <c r="K41" s="2">
        <v>0.54</v>
      </c>
      <c r="L41" s="2">
        <v>0</v>
      </c>
      <c r="M41" s="2">
        <v>0</v>
      </c>
      <c r="N41" s="2">
        <v>24613.48</v>
      </c>
      <c r="O41" s="2">
        <v>31606.39</v>
      </c>
      <c r="P41" s="2">
        <v>100</v>
      </c>
      <c r="Q41" s="2" t="str">
        <f t="shared" si="16"/>
        <v>E021635187</v>
      </c>
      <c r="R41" s="2" t="str">
        <f t="shared" si="0"/>
        <v>人民币</v>
      </c>
      <c r="S41" s="2" t="str">
        <f>"1361000058"</f>
        <v>1361000058</v>
      </c>
    </row>
    <row r="42" spans="1:19">
      <c r="A42" s="2" t="str">
        <f t="shared" si="17"/>
        <v>20150305</v>
      </c>
      <c r="B42" s="2" t="str">
        <f t="shared" ref="B42:B46" si="19">"601607"</f>
        <v>601607</v>
      </c>
      <c r="C42" s="2" t="str">
        <f t="shared" ref="C42:C46" si="20">"上海医药"</f>
        <v>上海医药</v>
      </c>
      <c r="D42" s="2" t="str">
        <f t="shared" si="15"/>
        <v>担保品买入</v>
      </c>
      <c r="E42" s="2">
        <v>19.09</v>
      </c>
      <c r="F42" s="2">
        <v>1000</v>
      </c>
      <c r="G42" s="2">
        <v>19090</v>
      </c>
      <c r="H42" s="2">
        <v>9.55</v>
      </c>
      <c r="I42" s="2">
        <v>7.84</v>
      </c>
      <c r="J42" s="2">
        <v>0</v>
      </c>
      <c r="K42" s="2">
        <v>0.6</v>
      </c>
      <c r="L42" s="2">
        <v>0</v>
      </c>
      <c r="M42" s="2">
        <v>0</v>
      </c>
      <c r="N42" s="2">
        <v>-19100.15</v>
      </c>
      <c r="O42" s="2">
        <v>12506.24</v>
      </c>
      <c r="P42" s="2">
        <v>4000</v>
      </c>
      <c r="Q42" s="2" t="str">
        <f t="shared" si="16"/>
        <v>E021635187</v>
      </c>
      <c r="R42" s="2" t="str">
        <f t="shared" si="0"/>
        <v>人民币</v>
      </c>
      <c r="S42" s="2" t="str">
        <f>"1361000076"</f>
        <v>1361000076</v>
      </c>
    </row>
    <row r="43" spans="1:19">
      <c r="A43" s="2" t="str">
        <f t="shared" si="17"/>
        <v>20150305</v>
      </c>
      <c r="B43" s="2" t="str">
        <f t="shared" si="19"/>
        <v>601607</v>
      </c>
      <c r="C43" s="2" t="str">
        <f t="shared" si="20"/>
        <v>上海医药</v>
      </c>
      <c r="D43" s="2" t="str">
        <f t="shared" si="18"/>
        <v>担保品卖出</v>
      </c>
      <c r="E43" s="2">
        <v>19.59</v>
      </c>
      <c r="F43" s="2">
        <v>1000</v>
      </c>
      <c r="G43" s="2">
        <v>19590</v>
      </c>
      <c r="H43" s="2">
        <v>9.8</v>
      </c>
      <c r="I43" s="2">
        <v>8.05</v>
      </c>
      <c r="J43" s="2">
        <v>19.59</v>
      </c>
      <c r="K43" s="2">
        <v>0.6</v>
      </c>
      <c r="L43" s="2">
        <v>0</v>
      </c>
      <c r="M43" s="2">
        <v>0</v>
      </c>
      <c r="N43" s="2">
        <v>19560.01</v>
      </c>
      <c r="O43" s="2">
        <v>32066.25</v>
      </c>
      <c r="P43" s="2">
        <v>3000</v>
      </c>
      <c r="Q43" s="2" t="str">
        <f t="shared" si="16"/>
        <v>E021635187</v>
      </c>
      <c r="R43" s="2" t="str">
        <f t="shared" si="0"/>
        <v>人民币</v>
      </c>
      <c r="S43" s="2" t="str">
        <f>"1361000146"</f>
        <v>1361000146</v>
      </c>
    </row>
    <row r="44" spans="1:19">
      <c r="A44" s="2" t="str">
        <f t="shared" si="17"/>
        <v>20150305</v>
      </c>
      <c r="B44" s="2" t="str">
        <f t="shared" si="19"/>
        <v>601607</v>
      </c>
      <c r="C44" s="2" t="str">
        <f t="shared" si="20"/>
        <v>上海医药</v>
      </c>
      <c r="D44" s="2" t="str">
        <f t="shared" si="15"/>
        <v>担保品买入</v>
      </c>
      <c r="E44" s="2">
        <v>19.15</v>
      </c>
      <c r="F44" s="2">
        <v>500</v>
      </c>
      <c r="G44" s="2">
        <v>9575</v>
      </c>
      <c r="H44" s="2">
        <v>5</v>
      </c>
      <c r="I44" s="2">
        <v>4.14</v>
      </c>
      <c r="J44" s="2">
        <v>0</v>
      </c>
      <c r="K44" s="2">
        <v>0.3</v>
      </c>
      <c r="L44" s="2">
        <v>0</v>
      </c>
      <c r="M44" s="2">
        <v>0</v>
      </c>
      <c r="N44" s="2">
        <v>-9580.3</v>
      </c>
      <c r="O44" s="2">
        <v>22485.95</v>
      </c>
      <c r="P44" s="2">
        <v>3500</v>
      </c>
      <c r="Q44" s="2" t="str">
        <f t="shared" si="16"/>
        <v>E021635187</v>
      </c>
      <c r="R44" s="2" t="str">
        <f t="shared" si="0"/>
        <v>人民币</v>
      </c>
      <c r="S44" s="2" t="str">
        <f>"1361000297"</f>
        <v>1361000297</v>
      </c>
    </row>
    <row r="45" spans="1:19">
      <c r="A45" s="2" t="str">
        <f t="shared" si="17"/>
        <v>20150305</v>
      </c>
      <c r="B45" s="2" t="str">
        <f t="shared" si="19"/>
        <v>601607</v>
      </c>
      <c r="C45" s="2" t="str">
        <f t="shared" si="20"/>
        <v>上海医药</v>
      </c>
      <c r="D45" s="2" t="str">
        <f t="shared" si="18"/>
        <v>担保品卖出</v>
      </c>
      <c r="E45" s="2">
        <v>19.27</v>
      </c>
      <c r="F45" s="2">
        <v>500</v>
      </c>
      <c r="G45" s="2">
        <v>9635</v>
      </c>
      <c r="H45" s="2">
        <v>5</v>
      </c>
      <c r="I45" s="2">
        <v>4.14</v>
      </c>
      <c r="J45" s="2">
        <v>9.64</v>
      </c>
      <c r="K45" s="2">
        <v>0.3</v>
      </c>
      <c r="L45" s="2">
        <v>0</v>
      </c>
      <c r="M45" s="2">
        <v>0</v>
      </c>
      <c r="N45" s="2">
        <v>9620.06</v>
      </c>
      <c r="O45" s="2">
        <v>32106.01</v>
      </c>
      <c r="P45" s="2">
        <v>3000</v>
      </c>
      <c r="Q45" s="2" t="str">
        <f t="shared" si="16"/>
        <v>E021635187</v>
      </c>
      <c r="R45" s="2" t="str">
        <f t="shared" si="0"/>
        <v>人民币</v>
      </c>
      <c r="S45" s="2" t="str">
        <f>"1361000328"</f>
        <v>1361000328</v>
      </c>
    </row>
    <row r="46" spans="1:19">
      <c r="A46" s="2" t="str">
        <f t="shared" si="17"/>
        <v>20150305</v>
      </c>
      <c r="B46" s="2" t="str">
        <f t="shared" si="19"/>
        <v>601607</v>
      </c>
      <c r="C46" s="2" t="str">
        <f t="shared" si="20"/>
        <v>上海医药</v>
      </c>
      <c r="D46" s="2" t="str">
        <f t="shared" ref="D46:D50" si="21">"担保品买入"</f>
        <v>担保品买入</v>
      </c>
      <c r="E46" s="2">
        <v>19.218</v>
      </c>
      <c r="F46" s="2">
        <v>500</v>
      </c>
      <c r="G46" s="2">
        <v>9609</v>
      </c>
      <c r="H46" s="2">
        <v>5</v>
      </c>
      <c r="I46" s="2">
        <v>4.14</v>
      </c>
      <c r="J46" s="2">
        <v>0</v>
      </c>
      <c r="K46" s="2">
        <v>0.3</v>
      </c>
      <c r="L46" s="2">
        <v>0</v>
      </c>
      <c r="M46" s="2">
        <v>0</v>
      </c>
      <c r="N46" s="2">
        <v>-9614.3</v>
      </c>
      <c r="O46" s="2">
        <v>22491.71</v>
      </c>
      <c r="P46" s="2">
        <v>3500</v>
      </c>
      <c r="Q46" s="2" t="str">
        <f t="shared" si="16"/>
        <v>E021635187</v>
      </c>
      <c r="R46" s="2" t="str">
        <f t="shared" si="0"/>
        <v>人民币</v>
      </c>
      <c r="S46" s="2" t="str">
        <f>"1361000398"</f>
        <v>1361000398</v>
      </c>
    </row>
    <row r="47" spans="1:19">
      <c r="A47" s="2" t="str">
        <f t="shared" si="17"/>
        <v>20150305</v>
      </c>
      <c r="B47" s="2" t="str">
        <f>"600066"</f>
        <v>600066</v>
      </c>
      <c r="C47" s="2" t="str">
        <f>"宇通客车"</f>
        <v>宇通客车</v>
      </c>
      <c r="D47" s="2" t="str">
        <f t="shared" si="21"/>
        <v>担保品买入</v>
      </c>
      <c r="E47" s="2">
        <v>26.99</v>
      </c>
      <c r="F47" s="2">
        <v>300</v>
      </c>
      <c r="G47" s="2">
        <v>8097</v>
      </c>
      <c r="H47" s="2">
        <v>5</v>
      </c>
      <c r="I47" s="2">
        <v>4.28</v>
      </c>
      <c r="J47" s="2">
        <v>0</v>
      </c>
      <c r="K47" s="2">
        <v>0.18</v>
      </c>
      <c r="L47" s="2">
        <v>0</v>
      </c>
      <c r="M47" s="2">
        <v>0</v>
      </c>
      <c r="N47" s="2">
        <v>-8102.18</v>
      </c>
      <c r="O47" s="2">
        <v>14389.53</v>
      </c>
      <c r="P47" s="2">
        <v>400</v>
      </c>
      <c r="Q47" s="2" t="str">
        <f t="shared" si="16"/>
        <v>E021635187</v>
      </c>
      <c r="R47" s="2" t="str">
        <f t="shared" si="0"/>
        <v>人民币</v>
      </c>
      <c r="S47" s="2" t="str">
        <f>"1361000496"</f>
        <v>1361000496</v>
      </c>
    </row>
    <row r="48" spans="1:19">
      <c r="A48" s="2" t="str">
        <f t="shared" ref="A48:A50" si="22">"20150306"</f>
        <v>20150306</v>
      </c>
      <c r="B48" s="2" t="str">
        <f t="shared" ref="B48:B52" si="23">"601607"</f>
        <v>601607</v>
      </c>
      <c r="C48" s="2" t="str">
        <f t="shared" ref="C48:C52" si="24">"上海医药"</f>
        <v>上海医药</v>
      </c>
      <c r="D48" s="2" t="str">
        <f>"担保品卖出"</f>
        <v>担保品卖出</v>
      </c>
      <c r="E48" s="2">
        <v>18.88</v>
      </c>
      <c r="F48" s="2">
        <v>500</v>
      </c>
      <c r="G48" s="2">
        <v>9440</v>
      </c>
      <c r="H48" s="2">
        <v>5</v>
      </c>
      <c r="I48" s="2">
        <v>4.15</v>
      </c>
      <c r="J48" s="2">
        <v>9.44</v>
      </c>
      <c r="K48" s="2">
        <v>0.3</v>
      </c>
      <c r="L48" s="2">
        <v>0</v>
      </c>
      <c r="M48" s="2">
        <v>0</v>
      </c>
      <c r="N48" s="2">
        <v>9425.26</v>
      </c>
      <c r="O48" s="2">
        <v>23814.79</v>
      </c>
      <c r="P48" s="2">
        <v>3000</v>
      </c>
      <c r="Q48" s="2" t="str">
        <f t="shared" si="16"/>
        <v>E021635187</v>
      </c>
      <c r="R48" s="2" t="str">
        <f t="shared" si="0"/>
        <v>人民币</v>
      </c>
      <c r="S48" s="2" t="str">
        <f>"1361000177"</f>
        <v>1361000177</v>
      </c>
    </row>
    <row r="49" spans="1:19">
      <c r="A49" s="2" t="str">
        <f t="shared" si="22"/>
        <v>20150306</v>
      </c>
      <c r="B49" s="2" t="str">
        <f t="shared" si="23"/>
        <v>601607</v>
      </c>
      <c r="C49" s="2" t="str">
        <f t="shared" si="24"/>
        <v>上海医药</v>
      </c>
      <c r="D49" s="2" t="str">
        <f t="shared" si="21"/>
        <v>担保品买入</v>
      </c>
      <c r="E49" s="2">
        <v>18.72</v>
      </c>
      <c r="F49" s="2">
        <v>500</v>
      </c>
      <c r="G49" s="2">
        <v>9360</v>
      </c>
      <c r="H49" s="2">
        <v>5</v>
      </c>
      <c r="I49" s="2">
        <v>4.16</v>
      </c>
      <c r="J49" s="2">
        <v>0</v>
      </c>
      <c r="K49" s="2">
        <v>0.3</v>
      </c>
      <c r="L49" s="2">
        <v>0</v>
      </c>
      <c r="M49" s="2">
        <v>0</v>
      </c>
      <c r="N49" s="2">
        <v>-9365.3</v>
      </c>
      <c r="O49" s="2">
        <v>14449.49</v>
      </c>
      <c r="P49" s="2">
        <v>3500</v>
      </c>
      <c r="Q49" s="2" t="str">
        <f t="shared" si="16"/>
        <v>E021635187</v>
      </c>
      <c r="R49" s="2" t="str">
        <f t="shared" si="0"/>
        <v>人民币</v>
      </c>
      <c r="S49" s="2" t="str">
        <f>"1361000428"</f>
        <v>1361000428</v>
      </c>
    </row>
    <row r="50" spans="1:19">
      <c r="A50" s="2" t="str">
        <f t="shared" si="22"/>
        <v>20150306</v>
      </c>
      <c r="B50" s="2" t="str">
        <f>"600066"</f>
        <v>600066</v>
      </c>
      <c r="C50" s="2" t="str">
        <f>"宇通客车"</f>
        <v>宇通客车</v>
      </c>
      <c r="D50" s="2" t="str">
        <f t="shared" si="21"/>
        <v>担保品买入</v>
      </c>
      <c r="E50" s="2">
        <v>26.2</v>
      </c>
      <c r="F50" s="2">
        <v>500</v>
      </c>
      <c r="G50" s="2">
        <v>13100</v>
      </c>
      <c r="H50" s="2">
        <v>6.55</v>
      </c>
      <c r="I50" s="2">
        <v>5.38</v>
      </c>
      <c r="J50" s="2">
        <v>0</v>
      </c>
      <c r="K50" s="2">
        <v>0.3</v>
      </c>
      <c r="L50" s="2">
        <v>0</v>
      </c>
      <c r="M50" s="2">
        <v>0</v>
      </c>
      <c r="N50" s="2">
        <v>-13106.85</v>
      </c>
      <c r="O50" s="2">
        <v>1342.64</v>
      </c>
      <c r="P50" s="2">
        <v>900</v>
      </c>
      <c r="Q50" s="2" t="str">
        <f t="shared" si="16"/>
        <v>E021635187</v>
      </c>
      <c r="R50" s="2" t="str">
        <f t="shared" si="0"/>
        <v>人民币</v>
      </c>
      <c r="S50" s="2" t="str">
        <f>"1361000648"</f>
        <v>1361000648</v>
      </c>
    </row>
    <row r="51" spans="1:19">
      <c r="A51" s="2" t="str">
        <f t="shared" ref="A51:A54" si="25">"20150309"</f>
        <v>20150309</v>
      </c>
      <c r="B51" s="2" t="str">
        <f>"000868"</f>
        <v>000868</v>
      </c>
      <c r="C51" s="2" t="str">
        <f>"安凯客车"</f>
        <v>安凯客车</v>
      </c>
      <c r="D51" s="2" t="str">
        <f>"融资买入"</f>
        <v>融资买入</v>
      </c>
      <c r="E51" s="2">
        <v>6.34</v>
      </c>
      <c r="F51" s="2">
        <v>5000</v>
      </c>
      <c r="G51" s="2">
        <v>31700</v>
      </c>
      <c r="H51" s="2">
        <v>34.87</v>
      </c>
      <c r="I51" s="2">
        <v>31.23</v>
      </c>
      <c r="J51" s="2">
        <v>0</v>
      </c>
      <c r="K51" s="2">
        <v>0</v>
      </c>
      <c r="L51" s="2">
        <v>0</v>
      </c>
      <c r="M51" s="2">
        <v>0</v>
      </c>
      <c r="N51" s="2">
        <v>-31734.87</v>
      </c>
      <c r="O51" s="2">
        <v>-30392.23</v>
      </c>
      <c r="P51" s="2">
        <v>5000</v>
      </c>
      <c r="Q51" s="2" t="str">
        <f>"0602175409"</f>
        <v>0602175409</v>
      </c>
      <c r="R51" s="2" t="str">
        <f t="shared" si="0"/>
        <v>人民币</v>
      </c>
      <c r="S51" s="2" t="str">
        <f>"T4000095"</f>
        <v>T4000095</v>
      </c>
    </row>
    <row r="52" spans="1:19">
      <c r="A52" s="2" t="str">
        <f t="shared" si="25"/>
        <v>20150309</v>
      </c>
      <c r="B52" s="2" t="str">
        <f t="shared" si="23"/>
        <v>601607</v>
      </c>
      <c r="C52" s="2" t="str">
        <f t="shared" si="24"/>
        <v>上海医药</v>
      </c>
      <c r="D52" s="2" t="str">
        <f>"担保品卖出"</f>
        <v>担保品卖出</v>
      </c>
      <c r="E52" s="2">
        <v>19.02</v>
      </c>
      <c r="F52" s="2">
        <v>500</v>
      </c>
      <c r="G52" s="2">
        <v>9510</v>
      </c>
      <c r="H52" s="2">
        <v>5</v>
      </c>
      <c r="I52" s="2">
        <v>4.15</v>
      </c>
      <c r="J52" s="2">
        <v>9.51</v>
      </c>
      <c r="K52" s="2">
        <v>0.3</v>
      </c>
      <c r="L52" s="2">
        <v>0</v>
      </c>
      <c r="M52" s="2">
        <v>0</v>
      </c>
      <c r="N52" s="2">
        <v>9495.19</v>
      </c>
      <c r="O52" s="2">
        <v>-20897.04</v>
      </c>
      <c r="P52" s="2">
        <v>3000</v>
      </c>
      <c r="Q52" s="2" t="str">
        <f t="shared" ref="Q52:Q56" si="26">"E021635187"</f>
        <v>E021635187</v>
      </c>
      <c r="R52" s="2" t="str">
        <f t="shared" si="0"/>
        <v>人民币</v>
      </c>
      <c r="S52" s="2" t="str">
        <f>"1361000357"</f>
        <v>1361000357</v>
      </c>
    </row>
    <row r="53" spans="1:19">
      <c r="A53" s="2" t="str">
        <f t="shared" si="25"/>
        <v>20150309</v>
      </c>
      <c r="B53" s="2" t="str">
        <f>"600066"</f>
        <v>600066</v>
      </c>
      <c r="C53" s="2" t="str">
        <f>"宇通客车"</f>
        <v>宇通客车</v>
      </c>
      <c r="D53" s="2" t="str">
        <f>"担保品买入"</f>
        <v>担保品买入</v>
      </c>
      <c r="E53" s="2">
        <v>26.31</v>
      </c>
      <c r="F53" s="2">
        <v>400</v>
      </c>
      <c r="G53" s="2">
        <v>10524</v>
      </c>
      <c r="H53" s="2">
        <v>5.26</v>
      </c>
      <c r="I53" s="2">
        <v>4.32</v>
      </c>
      <c r="J53" s="2">
        <v>0</v>
      </c>
      <c r="K53" s="2">
        <v>0.24</v>
      </c>
      <c r="L53" s="2">
        <v>0</v>
      </c>
      <c r="M53" s="2">
        <v>0</v>
      </c>
      <c r="N53" s="2">
        <v>-10529.5</v>
      </c>
      <c r="O53" s="2">
        <v>-31426.54</v>
      </c>
      <c r="P53" s="2">
        <v>1300</v>
      </c>
      <c r="Q53" s="2" t="str">
        <f t="shared" si="26"/>
        <v>E021635187</v>
      </c>
      <c r="R53" s="2" t="str">
        <f t="shared" si="0"/>
        <v>人民币</v>
      </c>
      <c r="S53" s="2" t="str">
        <f>"1361000544"</f>
        <v>1361000544</v>
      </c>
    </row>
    <row r="54" spans="1:19">
      <c r="A54" s="2" t="str">
        <f t="shared" si="25"/>
        <v>20150309</v>
      </c>
      <c r="D54" s="2" t="str">
        <f>"融资借入"</f>
        <v>融资借入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31734.87</v>
      </c>
      <c r="O54" s="2">
        <v>308.33</v>
      </c>
      <c r="P54" s="2">
        <v>0</v>
      </c>
      <c r="R54" s="2" t="str">
        <f t="shared" si="0"/>
        <v>人民币</v>
      </c>
      <c r="S54" s="2" t="str">
        <f>"T4000095"</f>
        <v>T4000095</v>
      </c>
    </row>
    <row r="55" spans="1:19">
      <c r="A55" s="2" t="str">
        <f t="shared" ref="A55:A58" si="27">"20150310"</f>
        <v>20150310</v>
      </c>
      <c r="B55" s="2" t="str">
        <f t="shared" ref="B55:B59" si="28">"601607"</f>
        <v>601607</v>
      </c>
      <c r="C55" s="2" t="str">
        <f t="shared" ref="C55:C59" si="29">"上海医药"</f>
        <v>上海医药</v>
      </c>
      <c r="D55" s="2" t="str">
        <f>"卖券还款"</f>
        <v>卖券还款</v>
      </c>
      <c r="E55" s="2">
        <v>21.01</v>
      </c>
      <c r="F55" s="2">
        <v>500</v>
      </c>
      <c r="G55" s="2">
        <v>10505</v>
      </c>
      <c r="H55" s="2">
        <v>11.56</v>
      </c>
      <c r="I55" s="2">
        <v>10.62</v>
      </c>
      <c r="J55" s="2">
        <v>10.51</v>
      </c>
      <c r="K55" s="2">
        <v>0.3</v>
      </c>
      <c r="L55" s="2">
        <v>0</v>
      </c>
      <c r="M55" s="2">
        <v>0</v>
      </c>
      <c r="N55" s="2">
        <v>10482.63</v>
      </c>
      <c r="O55" s="2">
        <v>10790.96</v>
      </c>
      <c r="P55" s="2">
        <v>2500</v>
      </c>
      <c r="Q55" s="2" t="str">
        <f t="shared" si="26"/>
        <v>E021635187</v>
      </c>
      <c r="R55" s="2" t="str">
        <f t="shared" si="0"/>
        <v>人民币</v>
      </c>
      <c r="S55" s="2" t="str">
        <f t="shared" ref="S55:S58" si="30">"1361000060"</f>
        <v>1361000060</v>
      </c>
    </row>
    <row r="56" spans="1:19">
      <c r="A56" s="2" t="str">
        <f t="shared" si="27"/>
        <v>20150310</v>
      </c>
      <c r="B56" s="2" t="str">
        <f t="shared" si="28"/>
        <v>601607</v>
      </c>
      <c r="C56" s="2" t="str">
        <f t="shared" si="29"/>
        <v>上海医药</v>
      </c>
      <c r="D56" s="2" t="str">
        <f t="shared" ref="D56:D60" si="31">"担保品卖出"</f>
        <v>担保品卖出</v>
      </c>
      <c r="E56" s="2">
        <v>20.87</v>
      </c>
      <c r="F56" s="2">
        <v>500</v>
      </c>
      <c r="G56" s="2">
        <v>10435</v>
      </c>
      <c r="H56" s="2">
        <v>5.22</v>
      </c>
      <c r="I56" s="2">
        <v>4.28</v>
      </c>
      <c r="J56" s="2">
        <v>10.44</v>
      </c>
      <c r="K56" s="2">
        <v>0.3</v>
      </c>
      <c r="L56" s="2">
        <v>0</v>
      </c>
      <c r="M56" s="2">
        <v>0</v>
      </c>
      <c r="N56" s="2">
        <v>10419.04</v>
      </c>
      <c r="O56" s="2">
        <v>21210</v>
      </c>
      <c r="P56" s="2">
        <v>2000</v>
      </c>
      <c r="Q56" s="2" t="str">
        <f t="shared" si="26"/>
        <v>E021635187</v>
      </c>
      <c r="R56" s="2" t="str">
        <f t="shared" si="0"/>
        <v>人民币</v>
      </c>
      <c r="S56" s="2" t="str">
        <f>"1361000479"</f>
        <v>1361000479</v>
      </c>
    </row>
    <row r="57" spans="1:19">
      <c r="A57" s="2" t="str">
        <f t="shared" si="27"/>
        <v>20150310</v>
      </c>
      <c r="D57" s="2" t="str">
        <f>"偿还融资利息"</f>
        <v>偿还融资利息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-7.36</v>
      </c>
      <c r="O57" s="2">
        <v>21202.64</v>
      </c>
      <c r="P57" s="2">
        <v>0</v>
      </c>
      <c r="R57" s="2" t="str">
        <f t="shared" si="0"/>
        <v>人民币</v>
      </c>
      <c r="S57" s="2" t="str">
        <f t="shared" si="30"/>
        <v>1361000060</v>
      </c>
    </row>
    <row r="58" spans="1:19">
      <c r="A58" s="2" t="str">
        <f t="shared" si="27"/>
        <v>20150310</v>
      </c>
      <c r="D58" s="2" t="str">
        <f>"偿还融资负债本金"</f>
        <v>偿还融资负债本金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-10475.27</v>
      </c>
      <c r="O58" s="2">
        <v>10727.37</v>
      </c>
      <c r="P58" s="2">
        <v>0</v>
      </c>
      <c r="R58" s="2" t="str">
        <f t="shared" si="0"/>
        <v>人民币</v>
      </c>
      <c r="S58" s="2" t="str">
        <f t="shared" si="30"/>
        <v>1361000060</v>
      </c>
    </row>
    <row r="59" spans="1:19">
      <c r="A59" s="2" t="str">
        <f>"20150311"</f>
        <v>20150311</v>
      </c>
      <c r="B59" s="2" t="str">
        <f t="shared" si="28"/>
        <v>601607</v>
      </c>
      <c r="C59" s="2" t="str">
        <f t="shared" si="29"/>
        <v>上海医药</v>
      </c>
      <c r="D59" s="2" t="str">
        <f t="shared" si="31"/>
        <v>担保品卖出</v>
      </c>
      <c r="E59" s="2">
        <v>21.72</v>
      </c>
      <c r="F59" s="2">
        <v>500</v>
      </c>
      <c r="G59" s="2">
        <v>10860</v>
      </c>
      <c r="H59" s="2">
        <v>5.43</v>
      </c>
      <c r="I59" s="2">
        <v>4.45</v>
      </c>
      <c r="J59" s="2">
        <v>10.86</v>
      </c>
      <c r="K59" s="2">
        <v>0.3</v>
      </c>
      <c r="L59" s="2">
        <v>0</v>
      </c>
      <c r="M59" s="2">
        <v>0</v>
      </c>
      <c r="N59" s="2">
        <v>10843.41</v>
      </c>
      <c r="O59" s="2">
        <v>21570.78</v>
      </c>
      <c r="P59" s="2">
        <v>1500</v>
      </c>
      <c r="Q59" s="2" t="str">
        <f t="shared" ref="Q59:Q62" si="32">"E021635187"</f>
        <v>E021635187</v>
      </c>
      <c r="R59" s="2" t="str">
        <f t="shared" si="0"/>
        <v>人民币</v>
      </c>
      <c r="S59" s="2" t="str">
        <f>"1361000726"</f>
        <v>1361000726</v>
      </c>
    </row>
    <row r="60" spans="1:19">
      <c r="A60" s="2" t="str">
        <f>"20150311"</f>
        <v>20150311</v>
      </c>
      <c r="B60" s="2" t="str">
        <f>"600066"</f>
        <v>600066</v>
      </c>
      <c r="C60" s="2" t="str">
        <f>"宇通客车"</f>
        <v>宇通客车</v>
      </c>
      <c r="D60" s="2" t="str">
        <f t="shared" si="31"/>
        <v>担保品卖出</v>
      </c>
      <c r="E60" s="2">
        <v>27.21</v>
      </c>
      <c r="F60" s="2">
        <v>300</v>
      </c>
      <c r="G60" s="2">
        <v>8163</v>
      </c>
      <c r="H60" s="2">
        <v>5</v>
      </c>
      <c r="I60" s="2">
        <v>4.27</v>
      </c>
      <c r="J60" s="2">
        <v>8.16</v>
      </c>
      <c r="K60" s="2">
        <v>0.18</v>
      </c>
      <c r="L60" s="2">
        <v>0</v>
      </c>
      <c r="M60" s="2">
        <v>0</v>
      </c>
      <c r="N60" s="2">
        <v>8149.66</v>
      </c>
      <c r="O60" s="2">
        <v>29720.44</v>
      </c>
      <c r="P60" s="2">
        <v>1000</v>
      </c>
      <c r="Q60" s="2" t="str">
        <f t="shared" si="32"/>
        <v>E021635187</v>
      </c>
      <c r="R60" s="2" t="str">
        <f t="shared" si="0"/>
        <v>人民币</v>
      </c>
      <c r="S60" s="2" t="str">
        <f>"1361000735"</f>
        <v>1361000735</v>
      </c>
    </row>
    <row r="61" spans="1:19">
      <c r="A61" s="2" t="str">
        <f>"20150312"</f>
        <v>20150312</v>
      </c>
      <c r="B61" s="2" t="str">
        <f>"601919"</f>
        <v>601919</v>
      </c>
      <c r="C61" s="2" t="str">
        <f>"中国远洋"</f>
        <v>中国远洋</v>
      </c>
      <c r="D61" s="2" t="str">
        <f>"担保品买入"</f>
        <v>担保品买入</v>
      </c>
      <c r="E61" s="2">
        <v>6.31</v>
      </c>
      <c r="F61" s="2">
        <v>2000</v>
      </c>
      <c r="G61" s="2">
        <v>12620</v>
      </c>
      <c r="H61" s="2">
        <v>6.31</v>
      </c>
      <c r="I61" s="2">
        <v>5.18</v>
      </c>
      <c r="J61" s="2">
        <v>0</v>
      </c>
      <c r="K61" s="2">
        <v>1.2</v>
      </c>
      <c r="L61" s="2">
        <v>0</v>
      </c>
      <c r="M61" s="2">
        <v>0</v>
      </c>
      <c r="N61" s="2">
        <v>-12627.51</v>
      </c>
      <c r="O61" s="2">
        <v>17092.93</v>
      </c>
      <c r="P61" s="2">
        <v>3000</v>
      </c>
      <c r="Q61" s="2" t="str">
        <f t="shared" si="32"/>
        <v>E021635187</v>
      </c>
      <c r="R61" s="2" t="str">
        <f t="shared" si="0"/>
        <v>人民币</v>
      </c>
      <c r="S61" s="2" t="str">
        <f>"1361000340"</f>
        <v>1361000340</v>
      </c>
    </row>
    <row r="62" spans="1:19">
      <c r="A62" s="2" t="str">
        <f>"20150312"</f>
        <v>20150312</v>
      </c>
      <c r="B62" s="2" t="str">
        <f>"600219"</f>
        <v>600219</v>
      </c>
      <c r="C62" s="2" t="str">
        <f>"南山铝业"</f>
        <v>南山铝业</v>
      </c>
      <c r="D62" s="2" t="str">
        <f>"担保品买入"</f>
        <v>担保品买入</v>
      </c>
      <c r="E62" s="2">
        <v>10.61</v>
      </c>
      <c r="F62" s="2">
        <v>1000</v>
      </c>
      <c r="G62" s="2">
        <v>10610</v>
      </c>
      <c r="H62" s="2">
        <v>5.31</v>
      </c>
      <c r="I62" s="2">
        <v>4.36</v>
      </c>
      <c r="J62" s="2">
        <v>0</v>
      </c>
      <c r="K62" s="2">
        <v>0.6</v>
      </c>
      <c r="L62" s="2">
        <v>0</v>
      </c>
      <c r="M62" s="2">
        <v>0</v>
      </c>
      <c r="N62" s="2">
        <v>-10615.91</v>
      </c>
      <c r="O62" s="2">
        <v>6477.02</v>
      </c>
      <c r="P62" s="2">
        <v>2000</v>
      </c>
      <c r="Q62" s="2" t="str">
        <f t="shared" si="32"/>
        <v>E021635187</v>
      </c>
      <c r="R62" s="2" t="str">
        <f t="shared" si="0"/>
        <v>人民币</v>
      </c>
      <c r="S62" s="2" t="str">
        <f>"1361000675"</f>
        <v>1361000675</v>
      </c>
    </row>
    <row r="63" spans="1:19">
      <c r="A63" s="2" t="str">
        <f t="shared" ref="A63:A66" si="33">"20150313"</f>
        <v>20150313</v>
      </c>
      <c r="B63" s="2" t="str">
        <f>"000868"</f>
        <v>000868</v>
      </c>
      <c r="C63" s="2" t="str">
        <f>"安凯客车"</f>
        <v>安凯客车</v>
      </c>
      <c r="D63" s="2" t="str">
        <f t="shared" ref="D63:D68" si="34">"担保品卖出"</f>
        <v>担保品卖出</v>
      </c>
      <c r="E63" s="2">
        <v>6.5</v>
      </c>
      <c r="F63" s="2">
        <v>5000</v>
      </c>
      <c r="G63" s="2">
        <v>32500</v>
      </c>
      <c r="H63" s="2">
        <v>16.25</v>
      </c>
      <c r="I63" s="2">
        <v>12.51</v>
      </c>
      <c r="J63" s="2">
        <v>32.5</v>
      </c>
      <c r="K63" s="2">
        <v>0</v>
      </c>
      <c r="L63" s="2">
        <v>0</v>
      </c>
      <c r="M63" s="2">
        <v>0</v>
      </c>
      <c r="N63" s="2">
        <v>32451.25</v>
      </c>
      <c r="O63" s="2">
        <v>38928.27</v>
      </c>
      <c r="P63" s="2">
        <v>0</v>
      </c>
      <c r="Q63" s="2" t="str">
        <f>"0602175409"</f>
        <v>0602175409</v>
      </c>
      <c r="R63" s="2" t="str">
        <f t="shared" si="0"/>
        <v>人民币</v>
      </c>
      <c r="S63" s="2" t="str">
        <f>"T4000113"</f>
        <v>T4000113</v>
      </c>
    </row>
    <row r="64" spans="1:18">
      <c r="A64" s="2" t="str">
        <f t="shared" si="33"/>
        <v>20150313</v>
      </c>
      <c r="D64" s="2" t="str">
        <f>"偿还融资利息"</f>
        <v>偿还融资利息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-14.79</v>
      </c>
      <c r="O64" s="2">
        <v>38913.48</v>
      </c>
      <c r="P64" s="2">
        <v>0</v>
      </c>
      <c r="R64" s="2" t="str">
        <f t="shared" si="0"/>
        <v>人民币</v>
      </c>
    </row>
    <row r="65" spans="1:18">
      <c r="A65" s="2" t="str">
        <f t="shared" si="33"/>
        <v>20150313</v>
      </c>
      <c r="D65" s="2" t="str">
        <f>"偿还融资负债本金"</f>
        <v>偿还融资负债本金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-11653.2</v>
      </c>
      <c r="O65" s="2">
        <v>27260.28</v>
      </c>
      <c r="P65" s="2">
        <v>0</v>
      </c>
      <c r="R65" s="2" t="str">
        <f t="shared" si="0"/>
        <v>人民币</v>
      </c>
    </row>
    <row r="66" spans="1:18">
      <c r="A66" s="2" t="str">
        <f t="shared" si="33"/>
        <v>20150313</v>
      </c>
      <c r="D66" s="2" t="str">
        <f>"偿还融资负债本金"</f>
        <v>偿还融资负债本金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-9606.4</v>
      </c>
      <c r="O66" s="2">
        <v>17653.88</v>
      </c>
      <c r="P66" s="2">
        <v>0</v>
      </c>
      <c r="R66" s="2" t="str">
        <f t="shared" ref="R66:R82" si="35">"人民币"</f>
        <v>人民币</v>
      </c>
    </row>
    <row r="67" spans="1:19">
      <c r="A67" s="2" t="str">
        <f t="shared" ref="A67:A71" si="36">"20150316"</f>
        <v>20150316</v>
      </c>
      <c r="B67" s="2" t="str">
        <f>"601607"</f>
        <v>601607</v>
      </c>
      <c r="C67" s="2" t="str">
        <f>"上海医药"</f>
        <v>上海医药</v>
      </c>
      <c r="D67" s="2" t="str">
        <f t="shared" si="34"/>
        <v>担保品卖出</v>
      </c>
      <c r="E67" s="2">
        <v>22.91</v>
      </c>
      <c r="F67" s="2">
        <v>500</v>
      </c>
      <c r="G67" s="2">
        <v>11455</v>
      </c>
      <c r="H67" s="2">
        <v>5.73</v>
      </c>
      <c r="I67" s="2">
        <v>4.7</v>
      </c>
      <c r="J67" s="2">
        <v>11.46</v>
      </c>
      <c r="K67" s="2">
        <v>0.3</v>
      </c>
      <c r="L67" s="2">
        <v>0</v>
      </c>
      <c r="M67" s="2">
        <v>0</v>
      </c>
      <c r="N67" s="2">
        <v>11437.51</v>
      </c>
      <c r="O67" s="2">
        <v>29091.39</v>
      </c>
      <c r="P67" s="2">
        <v>1000</v>
      </c>
      <c r="Q67" s="2" t="str">
        <f t="shared" ref="Q67:Q72" si="37">"E021635187"</f>
        <v>E021635187</v>
      </c>
      <c r="R67" s="2" t="str">
        <f t="shared" si="35"/>
        <v>人民币</v>
      </c>
      <c r="S67" s="2" t="str">
        <f>"1361000230"</f>
        <v>1361000230</v>
      </c>
    </row>
    <row r="68" spans="1:19">
      <c r="A68" s="2" t="str">
        <f t="shared" si="36"/>
        <v>20150316</v>
      </c>
      <c r="B68" s="2" t="str">
        <f>"601919"</f>
        <v>601919</v>
      </c>
      <c r="C68" s="2" t="str">
        <f>"中国远洋"</f>
        <v>中国远洋</v>
      </c>
      <c r="D68" s="2" t="str">
        <f t="shared" si="34"/>
        <v>担保品卖出</v>
      </c>
      <c r="E68" s="2">
        <v>6.53</v>
      </c>
      <c r="F68" s="2">
        <v>2000</v>
      </c>
      <c r="G68" s="2">
        <v>13060</v>
      </c>
      <c r="H68" s="2">
        <v>6.53</v>
      </c>
      <c r="I68" s="2">
        <v>5.36</v>
      </c>
      <c r="J68" s="2">
        <v>13.06</v>
      </c>
      <c r="K68" s="2">
        <v>1.2</v>
      </c>
      <c r="L68" s="2">
        <v>0</v>
      </c>
      <c r="M68" s="2">
        <v>0</v>
      </c>
      <c r="N68" s="2">
        <v>13039.21</v>
      </c>
      <c r="O68" s="2">
        <v>42130.6</v>
      </c>
      <c r="P68" s="2">
        <v>1000</v>
      </c>
      <c r="Q68" s="2" t="str">
        <f t="shared" si="37"/>
        <v>E021635187</v>
      </c>
      <c r="R68" s="2" t="str">
        <f t="shared" si="35"/>
        <v>人民币</v>
      </c>
      <c r="S68" s="2" t="str">
        <f>"1361000248"</f>
        <v>1361000248</v>
      </c>
    </row>
    <row r="69" spans="1:19">
      <c r="A69" s="2" t="str">
        <f t="shared" si="36"/>
        <v>20150316</v>
      </c>
      <c r="B69" s="2" t="str">
        <f t="shared" ref="B69:B71" si="38">"600066"</f>
        <v>600066</v>
      </c>
      <c r="C69" s="2" t="str">
        <f t="shared" ref="C69:C71" si="39">"宇通客车"</f>
        <v>宇通客车</v>
      </c>
      <c r="D69" s="2" t="str">
        <f>"担保品买入"</f>
        <v>担保品买入</v>
      </c>
      <c r="E69" s="2">
        <v>27.32</v>
      </c>
      <c r="F69" s="2">
        <v>500</v>
      </c>
      <c r="G69" s="2">
        <v>13660</v>
      </c>
      <c r="H69" s="2">
        <v>6.83</v>
      </c>
      <c r="I69" s="2">
        <v>5.61</v>
      </c>
      <c r="J69" s="2">
        <v>0</v>
      </c>
      <c r="K69" s="2">
        <v>0.3</v>
      </c>
      <c r="L69" s="2">
        <v>0</v>
      </c>
      <c r="M69" s="2">
        <v>0</v>
      </c>
      <c r="N69" s="2">
        <v>-13667.13</v>
      </c>
      <c r="O69" s="2">
        <v>28463.47</v>
      </c>
      <c r="P69" s="2">
        <v>1500</v>
      </c>
      <c r="Q69" s="2" t="str">
        <f t="shared" si="37"/>
        <v>E021635187</v>
      </c>
      <c r="R69" s="2" t="str">
        <f t="shared" si="35"/>
        <v>人民币</v>
      </c>
      <c r="S69" s="2" t="str">
        <f>"1361000302"</f>
        <v>1361000302</v>
      </c>
    </row>
    <row r="70" spans="1:19">
      <c r="A70" s="2" t="str">
        <f t="shared" si="36"/>
        <v>20150316</v>
      </c>
      <c r="B70" s="2" t="str">
        <f t="shared" si="38"/>
        <v>600066</v>
      </c>
      <c r="C70" s="2" t="str">
        <f t="shared" si="39"/>
        <v>宇通客车</v>
      </c>
      <c r="D70" s="2" t="str">
        <f>"担保品卖出"</f>
        <v>担保品卖出</v>
      </c>
      <c r="E70" s="2">
        <v>27.49</v>
      </c>
      <c r="F70" s="2">
        <v>500</v>
      </c>
      <c r="G70" s="2">
        <v>13745</v>
      </c>
      <c r="H70" s="2">
        <v>6.87</v>
      </c>
      <c r="I70" s="2">
        <v>5.64</v>
      </c>
      <c r="J70" s="2">
        <v>13.75</v>
      </c>
      <c r="K70" s="2">
        <v>0.3</v>
      </c>
      <c r="L70" s="2">
        <v>0</v>
      </c>
      <c r="M70" s="2">
        <v>0</v>
      </c>
      <c r="N70" s="2">
        <v>13724.08</v>
      </c>
      <c r="O70" s="2">
        <v>42187.55</v>
      </c>
      <c r="P70" s="2">
        <v>1000</v>
      </c>
      <c r="Q70" s="2" t="str">
        <f t="shared" si="37"/>
        <v>E021635187</v>
      </c>
      <c r="R70" s="2" t="str">
        <f t="shared" si="35"/>
        <v>人民币</v>
      </c>
      <c r="S70" s="2" t="str">
        <f>"1361000348"</f>
        <v>1361000348</v>
      </c>
    </row>
    <row r="71" spans="1:19">
      <c r="A71" s="2" t="str">
        <f t="shared" si="36"/>
        <v>20150316</v>
      </c>
      <c r="B71" s="2" t="str">
        <f t="shared" si="38"/>
        <v>600066</v>
      </c>
      <c r="C71" s="2" t="str">
        <f t="shared" si="39"/>
        <v>宇通客车</v>
      </c>
      <c r="D71" s="2" t="str">
        <f>"担保品买入"</f>
        <v>担保品买入</v>
      </c>
      <c r="E71" s="2">
        <v>27.87</v>
      </c>
      <c r="F71" s="2">
        <v>1000</v>
      </c>
      <c r="G71" s="2">
        <v>27870</v>
      </c>
      <c r="H71" s="2">
        <v>13.94</v>
      </c>
      <c r="I71" s="2">
        <v>11.44</v>
      </c>
      <c r="J71" s="2">
        <v>0</v>
      </c>
      <c r="K71" s="2">
        <v>0.6</v>
      </c>
      <c r="L71" s="2">
        <v>0</v>
      </c>
      <c r="M71" s="2">
        <v>0</v>
      </c>
      <c r="N71" s="2">
        <v>-27884.54</v>
      </c>
      <c r="O71" s="2">
        <v>14303.01</v>
      </c>
      <c r="P71" s="2">
        <v>2000</v>
      </c>
      <c r="Q71" s="2" t="str">
        <f t="shared" si="37"/>
        <v>E021635187</v>
      </c>
      <c r="R71" s="2" t="str">
        <f t="shared" si="35"/>
        <v>人民币</v>
      </c>
      <c r="S71" s="2" t="str">
        <f>"1361000544"</f>
        <v>1361000544</v>
      </c>
    </row>
    <row r="72" spans="1:19">
      <c r="A72" s="2" t="str">
        <f>"20150318"</f>
        <v>20150318</v>
      </c>
      <c r="B72" s="2" t="str">
        <f>"600219"</f>
        <v>600219</v>
      </c>
      <c r="C72" s="2" t="str">
        <f>"南山铝业"</f>
        <v>南山铝业</v>
      </c>
      <c r="D72" s="2" t="str">
        <f>"融资买入"</f>
        <v>融资买入</v>
      </c>
      <c r="E72" s="2">
        <v>10.89</v>
      </c>
      <c r="F72" s="2">
        <v>3000</v>
      </c>
      <c r="G72" s="2">
        <v>32670</v>
      </c>
      <c r="H72" s="2">
        <v>35.94</v>
      </c>
      <c r="I72" s="2">
        <v>33.02</v>
      </c>
      <c r="J72" s="2">
        <v>0</v>
      </c>
      <c r="K72" s="2">
        <v>1.8</v>
      </c>
      <c r="L72" s="2">
        <v>0</v>
      </c>
      <c r="M72" s="2">
        <v>0</v>
      </c>
      <c r="N72" s="2">
        <v>-32707.74</v>
      </c>
      <c r="O72" s="2">
        <v>-18404.73</v>
      </c>
      <c r="P72" s="2">
        <v>5000</v>
      </c>
      <c r="Q72" s="2" t="str">
        <f t="shared" si="37"/>
        <v>E021635187</v>
      </c>
      <c r="R72" s="2" t="str">
        <f t="shared" si="35"/>
        <v>人民币</v>
      </c>
      <c r="S72" s="2" t="str">
        <f>"1361000318"</f>
        <v>1361000318</v>
      </c>
    </row>
    <row r="73" spans="1:19">
      <c r="A73" s="2" t="str">
        <f>"20150318"</f>
        <v>20150318</v>
      </c>
      <c r="D73" s="2" t="str">
        <f>"融资借入"</f>
        <v>融资借入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32707.74</v>
      </c>
      <c r="O73" s="2">
        <v>14303.01</v>
      </c>
      <c r="P73" s="2">
        <v>0</v>
      </c>
      <c r="R73" s="2" t="str">
        <f t="shared" si="35"/>
        <v>人民币</v>
      </c>
      <c r="S73" s="2" t="str">
        <f>"1361000318"</f>
        <v>1361000318</v>
      </c>
    </row>
    <row r="74" spans="1:19">
      <c r="A74" s="2" t="str">
        <f>"20150319"</f>
        <v>20150319</v>
      </c>
      <c r="B74" s="2" t="str">
        <f>"601607"</f>
        <v>601607</v>
      </c>
      <c r="C74" s="2" t="str">
        <f>"上海医药"</f>
        <v>上海医药</v>
      </c>
      <c r="D74" s="2" t="str">
        <f t="shared" ref="D74:D79" si="40">"担保品卖出"</f>
        <v>担保品卖出</v>
      </c>
      <c r="E74" s="2">
        <v>22.44</v>
      </c>
      <c r="F74" s="2">
        <v>1000</v>
      </c>
      <c r="G74" s="2">
        <v>22440</v>
      </c>
      <c r="H74" s="2">
        <v>11.22</v>
      </c>
      <c r="I74" s="2">
        <v>9.21</v>
      </c>
      <c r="J74" s="2">
        <v>22.44</v>
      </c>
      <c r="K74" s="2">
        <v>0.6</v>
      </c>
      <c r="L74" s="2">
        <v>0</v>
      </c>
      <c r="M74" s="2">
        <v>0</v>
      </c>
      <c r="N74" s="2">
        <v>22405.74</v>
      </c>
      <c r="O74" s="2">
        <v>36708.75</v>
      </c>
      <c r="P74" s="2">
        <v>0</v>
      </c>
      <c r="Q74" s="2" t="str">
        <f t="shared" ref="Q74:Q80" si="41">"E021635187"</f>
        <v>E021635187</v>
      </c>
      <c r="R74" s="2" t="str">
        <f t="shared" si="35"/>
        <v>人民币</v>
      </c>
      <c r="S74" s="2" t="str">
        <f>"1361000900"</f>
        <v>1361000900</v>
      </c>
    </row>
    <row r="75" spans="1:19">
      <c r="A75" s="2" t="str">
        <f>"20150319"</f>
        <v>20150319</v>
      </c>
      <c r="B75" s="2" t="str">
        <f t="shared" ref="B75:B80" si="42">"600066"</f>
        <v>600066</v>
      </c>
      <c r="C75" s="2" t="str">
        <f t="shared" ref="C75:C80" si="43">"宇通客车"</f>
        <v>宇通客车</v>
      </c>
      <c r="D75" s="2" t="str">
        <f>"担保品买入"</f>
        <v>担保品买入</v>
      </c>
      <c r="E75" s="2">
        <v>28.53</v>
      </c>
      <c r="F75" s="2">
        <v>1000</v>
      </c>
      <c r="G75" s="2">
        <v>28530</v>
      </c>
      <c r="H75" s="2">
        <v>14.27</v>
      </c>
      <c r="I75" s="2">
        <v>11.71</v>
      </c>
      <c r="J75" s="2">
        <v>0</v>
      </c>
      <c r="K75" s="2">
        <v>0.6</v>
      </c>
      <c r="L75" s="2">
        <v>0</v>
      </c>
      <c r="M75" s="2">
        <v>0</v>
      </c>
      <c r="N75" s="2">
        <v>-28544.87</v>
      </c>
      <c r="O75" s="2">
        <v>8163.88</v>
      </c>
      <c r="P75" s="2">
        <v>3000</v>
      </c>
      <c r="Q75" s="2" t="str">
        <f t="shared" si="41"/>
        <v>E021635187</v>
      </c>
      <c r="R75" s="2" t="str">
        <f t="shared" si="35"/>
        <v>人民币</v>
      </c>
      <c r="S75" s="2" t="str">
        <f>"1361001010"</f>
        <v>1361001010</v>
      </c>
    </row>
    <row r="76" spans="1:18">
      <c r="A76" s="2" t="str">
        <f t="shared" ref="A76:A82" si="44">"20150320"</f>
        <v>20150320</v>
      </c>
      <c r="D76" s="2" t="str">
        <f>"利息归本"</f>
        <v>利息归本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5.72</v>
      </c>
      <c r="O76" s="2">
        <v>8169.6</v>
      </c>
      <c r="P76" s="2">
        <v>0</v>
      </c>
      <c r="R76" s="2" t="str">
        <f t="shared" si="35"/>
        <v>人民币</v>
      </c>
    </row>
    <row r="77" spans="1:19">
      <c r="A77" s="2" t="str">
        <f t="shared" si="44"/>
        <v>20150320</v>
      </c>
      <c r="B77" s="2" t="str">
        <f t="shared" si="42"/>
        <v>600066</v>
      </c>
      <c r="C77" s="2" t="str">
        <f t="shared" si="43"/>
        <v>宇通客车</v>
      </c>
      <c r="D77" s="2" t="str">
        <f t="shared" si="40"/>
        <v>担保品卖出</v>
      </c>
      <c r="E77" s="2">
        <v>28.75</v>
      </c>
      <c r="F77" s="2">
        <v>1000</v>
      </c>
      <c r="G77" s="2">
        <v>28750</v>
      </c>
      <c r="H77" s="2">
        <v>14.38</v>
      </c>
      <c r="I77" s="2">
        <v>11.8</v>
      </c>
      <c r="J77" s="2">
        <v>28.75</v>
      </c>
      <c r="K77" s="2">
        <v>0.6</v>
      </c>
      <c r="L77" s="2">
        <v>0</v>
      </c>
      <c r="M77" s="2">
        <v>0</v>
      </c>
      <c r="N77" s="2">
        <v>28706.27</v>
      </c>
      <c r="O77" s="2">
        <v>36875.87</v>
      </c>
      <c r="P77" s="2">
        <v>2000</v>
      </c>
      <c r="Q77" s="2" t="str">
        <f t="shared" si="41"/>
        <v>E021635187</v>
      </c>
      <c r="R77" s="2" t="str">
        <f t="shared" si="35"/>
        <v>人民币</v>
      </c>
      <c r="S77" s="2" t="str">
        <f>"1361000179"</f>
        <v>1361000179</v>
      </c>
    </row>
    <row r="78" spans="1:19">
      <c r="A78" s="2" t="str">
        <f t="shared" si="44"/>
        <v>20150320</v>
      </c>
      <c r="B78" s="2" t="str">
        <f>"601919"</f>
        <v>601919</v>
      </c>
      <c r="C78" s="2" t="str">
        <f>"中国远洋"</f>
        <v>中国远洋</v>
      </c>
      <c r="D78" s="2" t="str">
        <f t="shared" si="40"/>
        <v>担保品卖出</v>
      </c>
      <c r="E78" s="2">
        <v>7.15</v>
      </c>
      <c r="F78" s="2">
        <v>1000</v>
      </c>
      <c r="G78" s="2">
        <v>7150</v>
      </c>
      <c r="H78" s="2">
        <v>5</v>
      </c>
      <c r="I78" s="2">
        <v>4.36</v>
      </c>
      <c r="J78" s="2">
        <v>7.15</v>
      </c>
      <c r="K78" s="2">
        <v>0.6</v>
      </c>
      <c r="L78" s="2">
        <v>0</v>
      </c>
      <c r="M78" s="2">
        <v>0</v>
      </c>
      <c r="N78" s="2">
        <v>7137.25</v>
      </c>
      <c r="O78" s="2">
        <v>44013.12</v>
      </c>
      <c r="P78" s="2">
        <v>0</v>
      </c>
      <c r="Q78" s="2" t="str">
        <f t="shared" si="41"/>
        <v>E021635187</v>
      </c>
      <c r="R78" s="2" t="str">
        <f t="shared" si="35"/>
        <v>人民币</v>
      </c>
      <c r="S78" s="2" t="str">
        <f>"1361000188"</f>
        <v>1361000188</v>
      </c>
    </row>
    <row r="79" spans="1:19">
      <c r="A79" s="2" t="str">
        <f t="shared" si="44"/>
        <v>20150320</v>
      </c>
      <c r="B79" s="2" t="str">
        <f t="shared" si="42"/>
        <v>600066</v>
      </c>
      <c r="C79" s="2" t="str">
        <f t="shared" si="43"/>
        <v>宇通客车</v>
      </c>
      <c r="D79" s="2" t="str">
        <f t="shared" si="40"/>
        <v>担保品卖出</v>
      </c>
      <c r="E79" s="2">
        <v>28.52</v>
      </c>
      <c r="F79" s="2">
        <v>1000</v>
      </c>
      <c r="G79" s="2">
        <v>28520</v>
      </c>
      <c r="H79" s="2">
        <v>14.26</v>
      </c>
      <c r="I79" s="2">
        <v>11.71</v>
      </c>
      <c r="J79" s="2">
        <v>28.52</v>
      </c>
      <c r="K79" s="2">
        <v>0.6</v>
      </c>
      <c r="L79" s="2">
        <v>0</v>
      </c>
      <c r="M79" s="2">
        <v>0</v>
      </c>
      <c r="N79" s="2">
        <v>28476.62</v>
      </c>
      <c r="O79" s="2">
        <v>72489.74</v>
      </c>
      <c r="P79" s="2">
        <v>1000</v>
      </c>
      <c r="Q79" s="2" t="str">
        <f t="shared" si="41"/>
        <v>E021635187</v>
      </c>
      <c r="R79" s="2" t="str">
        <f t="shared" si="35"/>
        <v>人民币</v>
      </c>
      <c r="S79" s="2" t="str">
        <f>"1361000279"</f>
        <v>1361000279</v>
      </c>
    </row>
    <row r="80" spans="1:19">
      <c r="A80" s="2" t="str">
        <f t="shared" si="44"/>
        <v>20150320</v>
      </c>
      <c r="B80" s="2" t="str">
        <f t="shared" si="42"/>
        <v>600066</v>
      </c>
      <c r="C80" s="2" t="str">
        <f t="shared" si="43"/>
        <v>宇通客车</v>
      </c>
      <c r="D80" s="2" t="str">
        <f>"担保品买入"</f>
        <v>担保品买入</v>
      </c>
      <c r="E80" s="2">
        <v>28.52</v>
      </c>
      <c r="F80" s="2">
        <v>1000</v>
      </c>
      <c r="G80" s="2">
        <v>28520</v>
      </c>
      <c r="H80" s="2">
        <v>14.26</v>
      </c>
      <c r="I80" s="2">
        <v>11.71</v>
      </c>
      <c r="J80" s="2">
        <v>0</v>
      </c>
      <c r="K80" s="2">
        <v>0.6</v>
      </c>
      <c r="L80" s="2">
        <v>0</v>
      </c>
      <c r="M80" s="2">
        <v>0</v>
      </c>
      <c r="N80" s="2">
        <v>-28534.86</v>
      </c>
      <c r="O80" s="2">
        <v>43954.88</v>
      </c>
      <c r="P80" s="2">
        <v>2000</v>
      </c>
      <c r="Q80" s="2" t="str">
        <f t="shared" si="41"/>
        <v>E021635187</v>
      </c>
      <c r="R80" s="2" t="str">
        <f t="shared" si="35"/>
        <v>人民币</v>
      </c>
      <c r="S80" s="2" t="str">
        <f>"1361000781"</f>
        <v>1361000781</v>
      </c>
    </row>
    <row r="81" spans="1:18">
      <c r="A81" s="2" t="str">
        <f t="shared" si="44"/>
        <v>20150320</v>
      </c>
      <c r="D81" s="2" t="str">
        <f>"偿还融资利息"</f>
        <v>偿还融资利息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-15.18</v>
      </c>
      <c r="O81" s="2">
        <v>43939.7</v>
      </c>
      <c r="P81" s="2">
        <v>0</v>
      </c>
      <c r="R81" s="2" t="str">
        <f t="shared" si="35"/>
        <v>人民币</v>
      </c>
    </row>
    <row r="82" spans="1:18">
      <c r="A82" s="2" t="str">
        <f t="shared" si="44"/>
        <v>20150320</v>
      </c>
      <c r="D82" s="2" t="str">
        <f>"偿还融资负债本金"</f>
        <v>偿还融资负债本金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-32707.74</v>
      </c>
      <c r="O82" s="2">
        <v>11231.96</v>
      </c>
      <c r="P82" s="2">
        <v>0</v>
      </c>
      <c r="R82" s="2" t="str">
        <f t="shared" si="35"/>
        <v>人民币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9"/>
  <sheetViews>
    <sheetView topLeftCell="A59" workbookViewId="0">
      <selection activeCell="P79" sqref="A2:P79"/>
    </sheetView>
  </sheetViews>
  <sheetFormatPr defaultColWidth="9" defaultRowHeight="13.5"/>
  <cols>
    <col min="1" max="16384" width="9" style="2"/>
  </cols>
  <sheetData>
    <row r="1" spans="1:19">
      <c r="A1" s="2" t="str">
        <f>"交割日期"</f>
        <v>交割日期</v>
      </c>
      <c r="B1" s="2" t="str">
        <f>"证券代码"</f>
        <v>证券代码</v>
      </c>
      <c r="C1" s="2" t="str">
        <f>"证券名称"</f>
        <v>证券名称</v>
      </c>
      <c r="D1" s="2" t="str">
        <f>"业务名称"</f>
        <v>业务名称</v>
      </c>
      <c r="E1" s="2" t="str">
        <f>"成交价格"</f>
        <v>成交价格</v>
      </c>
      <c r="F1" s="2" t="str">
        <f>"成交数量"</f>
        <v>成交数量</v>
      </c>
      <c r="G1" s="2" t="str">
        <f>"成交金额"</f>
        <v>成交金额</v>
      </c>
      <c r="H1" s="2" t="str">
        <f>"手续费"</f>
        <v>手续费</v>
      </c>
      <c r="I1" s="2" t="str">
        <f>"净佣金"</f>
        <v>净佣金</v>
      </c>
      <c r="J1" s="2" t="str">
        <f>"印花税"</f>
        <v>印花税</v>
      </c>
      <c r="K1" s="2" t="str">
        <f>"过户费"</f>
        <v>过户费</v>
      </c>
      <c r="L1" s="2" t="str">
        <f>"结算费"</f>
        <v>结算费</v>
      </c>
      <c r="M1" s="2" t="str">
        <f>"其他费"</f>
        <v>其他费</v>
      </c>
      <c r="N1" s="2" t="str">
        <f>"发生金额"</f>
        <v>发生金额</v>
      </c>
      <c r="O1" s="2" t="str">
        <f>"剩余金额"</f>
        <v>剩余金额</v>
      </c>
      <c r="P1" s="2" t="str">
        <f>"证券数量"</f>
        <v>证券数量</v>
      </c>
      <c r="Q1" s="2" t="str">
        <f>"股东代码"</f>
        <v>股东代码</v>
      </c>
      <c r="R1" s="2" t="str">
        <f>"币种"</f>
        <v>币种</v>
      </c>
      <c r="S1" s="2" t="str">
        <f>"成交编号"</f>
        <v>成交编号</v>
      </c>
    </row>
    <row r="2" spans="1:19">
      <c r="A2" s="2" t="str">
        <f>"20150401"</f>
        <v>20150401</v>
      </c>
      <c r="B2" s="2" t="str">
        <f>"600066"</f>
        <v>600066</v>
      </c>
      <c r="C2" s="2" t="str">
        <f>"宇通客车"</f>
        <v>宇通客车</v>
      </c>
      <c r="D2" s="2" t="str">
        <f>"担保品卖出"</f>
        <v>担保品卖出</v>
      </c>
      <c r="E2" s="2">
        <v>31.2</v>
      </c>
      <c r="F2" s="2">
        <v>500</v>
      </c>
      <c r="G2" s="2">
        <v>15600</v>
      </c>
      <c r="H2" s="2">
        <v>7.8</v>
      </c>
      <c r="I2" s="2">
        <v>6.42</v>
      </c>
      <c r="J2" s="2">
        <v>15.6</v>
      </c>
      <c r="K2" s="2">
        <v>0.3</v>
      </c>
      <c r="L2" s="2">
        <v>0</v>
      </c>
      <c r="M2" s="2">
        <v>0</v>
      </c>
      <c r="N2" s="2">
        <v>15576.3</v>
      </c>
      <c r="O2" s="2">
        <v>26808.26</v>
      </c>
      <c r="P2" s="2">
        <v>1500</v>
      </c>
      <c r="Q2" s="2" t="str">
        <f t="shared" ref="Q2:Q9" si="0">"E021635187"</f>
        <v>E021635187</v>
      </c>
      <c r="R2" s="2" t="str">
        <f t="shared" ref="R2:R65" si="1">"人民币"</f>
        <v>人民币</v>
      </c>
      <c r="S2" s="2" t="str">
        <f>"1361000302"</f>
        <v>1361000302</v>
      </c>
    </row>
    <row r="3" spans="1:19">
      <c r="A3" s="2" t="str">
        <f>"20150401"</f>
        <v>20150401</v>
      </c>
      <c r="B3" s="2" t="str">
        <f>"600219"</f>
        <v>600219</v>
      </c>
      <c r="C3" s="2" t="str">
        <f>"南山铝业"</f>
        <v>南山铝业</v>
      </c>
      <c r="D3" s="2" t="str">
        <f>"担保品买入"</f>
        <v>担保品买入</v>
      </c>
      <c r="E3" s="2">
        <v>11.05</v>
      </c>
      <c r="F3" s="2">
        <v>2000</v>
      </c>
      <c r="G3" s="2">
        <v>22100</v>
      </c>
      <c r="H3" s="2">
        <v>11.05</v>
      </c>
      <c r="I3" s="2">
        <v>9.07</v>
      </c>
      <c r="J3" s="2">
        <v>0</v>
      </c>
      <c r="K3" s="2">
        <v>1.2</v>
      </c>
      <c r="L3" s="2">
        <v>0</v>
      </c>
      <c r="M3" s="2">
        <v>0</v>
      </c>
      <c r="N3" s="2">
        <v>-22112.25</v>
      </c>
      <c r="O3" s="2">
        <v>4696.01</v>
      </c>
      <c r="P3" s="2">
        <v>7000</v>
      </c>
      <c r="Q3" s="2" t="str">
        <f t="shared" si="0"/>
        <v>E021635187</v>
      </c>
      <c r="R3" s="2" t="str">
        <f t="shared" si="1"/>
        <v>人民币</v>
      </c>
      <c r="S3" s="2" t="str">
        <f>"1361000515"</f>
        <v>1361000515</v>
      </c>
    </row>
    <row r="4" spans="1:19">
      <c r="A4" s="2" t="str">
        <f>"20150403"</f>
        <v>20150403</v>
      </c>
      <c r="B4" s="2" t="str">
        <f>"600219"</f>
        <v>600219</v>
      </c>
      <c r="C4" s="2" t="str">
        <f>"南山铝业"</f>
        <v>南山铝业</v>
      </c>
      <c r="D4" s="2" t="str">
        <f>"担保品买入"</f>
        <v>担保品买入</v>
      </c>
      <c r="E4" s="2">
        <v>11.29</v>
      </c>
      <c r="F4" s="2">
        <v>400</v>
      </c>
      <c r="G4" s="2">
        <v>4516</v>
      </c>
      <c r="H4" s="2">
        <v>5</v>
      </c>
      <c r="I4" s="2">
        <v>4.6</v>
      </c>
      <c r="J4" s="2">
        <v>0</v>
      </c>
      <c r="K4" s="2">
        <v>0.24</v>
      </c>
      <c r="L4" s="2">
        <v>0</v>
      </c>
      <c r="M4" s="2">
        <v>0</v>
      </c>
      <c r="N4" s="2">
        <v>-4521.24</v>
      </c>
      <c r="O4" s="2">
        <v>174.77</v>
      </c>
      <c r="P4" s="2">
        <v>7400</v>
      </c>
      <c r="Q4" s="2" t="str">
        <f t="shared" si="0"/>
        <v>E021635187</v>
      </c>
      <c r="R4" s="2" t="str">
        <f t="shared" si="1"/>
        <v>人民币</v>
      </c>
      <c r="S4" s="2" t="str">
        <f>"1361000910"</f>
        <v>1361000910</v>
      </c>
    </row>
    <row r="5" spans="1:18">
      <c r="A5" s="2" t="str">
        <f>"20150428"</f>
        <v>20150428</v>
      </c>
      <c r="B5" s="2" t="str">
        <f>"161024"</f>
        <v>161024</v>
      </c>
      <c r="C5" s="2" t="str">
        <f>"军工分级"</f>
        <v>军工分级</v>
      </c>
      <c r="D5" s="2" t="str">
        <f>"证券分拆记增/基"</f>
        <v>证券分拆记增/基</v>
      </c>
      <c r="E5" s="2">
        <v>0</v>
      </c>
      <c r="F5" s="2">
        <v>1482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174.77</v>
      </c>
      <c r="P5" s="2">
        <v>1482</v>
      </c>
      <c r="Q5" s="2" t="str">
        <f>"0602175409"</f>
        <v>0602175409</v>
      </c>
      <c r="R5" s="2" t="str">
        <f t="shared" si="1"/>
        <v>人民币</v>
      </c>
    </row>
    <row r="6" spans="1:19">
      <c r="A6" s="2" t="str">
        <f>"20150430"</f>
        <v>20150430</v>
      </c>
      <c r="B6" s="2" t="str">
        <f>"161024"</f>
        <v>161024</v>
      </c>
      <c r="C6" s="2" t="str">
        <f>"军工分级"</f>
        <v>军工分级</v>
      </c>
      <c r="D6" s="2" t="str">
        <f>"担保物转出"</f>
        <v>担保物转出</v>
      </c>
      <c r="E6" s="2">
        <v>1</v>
      </c>
      <c r="F6" s="2">
        <v>1482</v>
      </c>
      <c r="G6" s="2">
        <v>1482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174.77</v>
      </c>
      <c r="P6" s="2">
        <v>0</v>
      </c>
      <c r="Q6" s="2" t="str">
        <f>"0602175409"</f>
        <v>0602175409</v>
      </c>
      <c r="R6" s="2" t="str">
        <f t="shared" si="1"/>
        <v>人民币</v>
      </c>
      <c r="S6" s="2" t="str">
        <f>"T4000728"</f>
        <v>T4000728</v>
      </c>
    </row>
    <row r="7" spans="1:18">
      <c r="A7" s="2" t="str">
        <f>"20150519"</f>
        <v>20150519</v>
      </c>
      <c r="B7" s="2" t="str">
        <f t="shared" ref="B7:B11" si="2">"600066"</f>
        <v>600066</v>
      </c>
      <c r="C7" s="2" t="str">
        <f>"宇通客车"</f>
        <v>宇通客车</v>
      </c>
      <c r="D7" s="2" t="str">
        <f>"红利入账"</f>
        <v>红利入账</v>
      </c>
      <c r="E7" s="2">
        <v>0</v>
      </c>
      <c r="F7" s="2">
        <v>1500</v>
      </c>
      <c r="G7" s="2">
        <v>1425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1425</v>
      </c>
      <c r="O7" s="2">
        <v>1599.77</v>
      </c>
      <c r="P7" s="2">
        <v>0</v>
      </c>
      <c r="Q7" s="2" t="str">
        <f t="shared" si="0"/>
        <v>E021635187</v>
      </c>
      <c r="R7" s="2" t="str">
        <f t="shared" si="1"/>
        <v>人民币</v>
      </c>
    </row>
    <row r="8" spans="1:18">
      <c r="A8" s="2" t="str">
        <f t="shared" ref="A8:A10" si="3">"20150520"</f>
        <v>20150520</v>
      </c>
      <c r="B8" s="2" t="str">
        <f t="shared" si="2"/>
        <v>600066</v>
      </c>
      <c r="C8" s="2" t="str">
        <f>"DR宇通客"</f>
        <v>DR宇通客</v>
      </c>
      <c r="D8" s="2" t="str">
        <f>"红股入账"</f>
        <v>红股入账</v>
      </c>
      <c r="E8" s="2">
        <v>0</v>
      </c>
      <c r="F8" s="2">
        <v>750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1599.77</v>
      </c>
      <c r="P8" s="2">
        <v>2250</v>
      </c>
      <c r="Q8" s="2" t="str">
        <f t="shared" si="0"/>
        <v>E021635187</v>
      </c>
      <c r="R8" s="2" t="str">
        <f t="shared" si="1"/>
        <v>人民币</v>
      </c>
    </row>
    <row r="9" spans="1:19">
      <c r="A9" s="2" t="str">
        <f t="shared" si="3"/>
        <v>20150520</v>
      </c>
      <c r="B9" s="2" t="str">
        <f>"600219"</f>
        <v>600219</v>
      </c>
      <c r="C9" s="2" t="str">
        <f>"南山铝业"</f>
        <v>南山铝业</v>
      </c>
      <c r="D9" s="2" t="str">
        <f>"融资买入"</f>
        <v>融资买入</v>
      </c>
      <c r="E9" s="2">
        <v>11.36</v>
      </c>
      <c r="F9" s="2">
        <v>5000</v>
      </c>
      <c r="G9" s="2">
        <v>56800</v>
      </c>
      <c r="H9" s="2">
        <v>62.48</v>
      </c>
      <c r="I9" s="2">
        <v>57.39</v>
      </c>
      <c r="J9" s="2">
        <v>0</v>
      </c>
      <c r="K9" s="2">
        <v>3</v>
      </c>
      <c r="L9" s="2">
        <v>0</v>
      </c>
      <c r="M9" s="2">
        <v>0</v>
      </c>
      <c r="N9" s="2">
        <v>-56865.48</v>
      </c>
      <c r="O9" s="2">
        <v>-55265.71</v>
      </c>
      <c r="P9" s="2">
        <v>12400</v>
      </c>
      <c r="Q9" s="2" t="str">
        <f t="shared" si="0"/>
        <v>E021635187</v>
      </c>
      <c r="R9" s="2" t="str">
        <f t="shared" si="1"/>
        <v>人民币</v>
      </c>
      <c r="S9" s="2" t="str">
        <f>"1361000855"</f>
        <v>1361000855</v>
      </c>
    </row>
    <row r="10" spans="1:19">
      <c r="A10" s="2" t="str">
        <f t="shared" si="3"/>
        <v>20150520</v>
      </c>
      <c r="D10" s="2" t="str">
        <f>"融资借入"</f>
        <v>融资借入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56865.48</v>
      </c>
      <c r="O10" s="2">
        <v>1599.77</v>
      </c>
      <c r="P10" s="2">
        <v>0</v>
      </c>
      <c r="R10" s="2" t="str">
        <f t="shared" si="1"/>
        <v>人民币</v>
      </c>
      <c r="S10" s="2" t="str">
        <f>"1361000855"</f>
        <v>1361000855</v>
      </c>
    </row>
    <row r="11" spans="1:19">
      <c r="A11" s="2" t="str">
        <f t="shared" ref="A11:A15" si="4">"20150527"</f>
        <v>20150527</v>
      </c>
      <c r="B11" s="2" t="str">
        <f t="shared" si="2"/>
        <v>600066</v>
      </c>
      <c r="C11" s="2" t="str">
        <f>"宇通客车"</f>
        <v>宇通客车</v>
      </c>
      <c r="D11" s="2" t="str">
        <f>"担保品卖出"</f>
        <v>担保品卖出</v>
      </c>
      <c r="E11" s="2">
        <v>24</v>
      </c>
      <c r="F11" s="2">
        <v>750</v>
      </c>
      <c r="G11" s="2">
        <v>18000</v>
      </c>
      <c r="H11" s="2">
        <v>9</v>
      </c>
      <c r="I11" s="2">
        <v>7.39</v>
      </c>
      <c r="J11" s="2">
        <v>18</v>
      </c>
      <c r="K11" s="2">
        <v>0.45</v>
      </c>
      <c r="L11" s="2">
        <v>0</v>
      </c>
      <c r="M11" s="2">
        <v>0</v>
      </c>
      <c r="N11" s="2">
        <v>17972.55</v>
      </c>
      <c r="O11" s="2">
        <v>19572.32</v>
      </c>
      <c r="P11" s="2">
        <v>1500</v>
      </c>
      <c r="Q11" s="2" t="str">
        <f t="shared" ref="Q11:Q17" si="5">"E021635187"</f>
        <v>E021635187</v>
      </c>
      <c r="R11" s="2" t="str">
        <f t="shared" si="1"/>
        <v>人民币</v>
      </c>
      <c r="S11" s="2" t="str">
        <f>"1361000836"</f>
        <v>1361000836</v>
      </c>
    </row>
    <row r="12" spans="1:19">
      <c r="A12" s="2" t="str">
        <f t="shared" si="4"/>
        <v>20150527</v>
      </c>
      <c r="B12" s="2" t="str">
        <f>"600219"</f>
        <v>600219</v>
      </c>
      <c r="C12" s="2" t="str">
        <f>"南山铝业"</f>
        <v>南山铝业</v>
      </c>
      <c r="D12" s="2" t="str">
        <f>"担保品卖出"</f>
        <v>担保品卖出</v>
      </c>
      <c r="E12" s="2">
        <v>12.42</v>
      </c>
      <c r="F12" s="2">
        <v>5000</v>
      </c>
      <c r="G12" s="2">
        <v>62100</v>
      </c>
      <c r="H12" s="2">
        <v>31.05</v>
      </c>
      <c r="I12" s="2">
        <v>25.49</v>
      </c>
      <c r="J12" s="2">
        <v>62.1</v>
      </c>
      <c r="K12" s="2">
        <v>3</v>
      </c>
      <c r="L12" s="2">
        <v>0</v>
      </c>
      <c r="M12" s="2">
        <v>0</v>
      </c>
      <c r="N12" s="2">
        <v>62003.85</v>
      </c>
      <c r="O12" s="2">
        <v>81576.17</v>
      </c>
      <c r="P12" s="2">
        <v>7400</v>
      </c>
      <c r="Q12" s="2" t="str">
        <f t="shared" si="5"/>
        <v>E021635187</v>
      </c>
      <c r="R12" s="2" t="str">
        <f t="shared" si="1"/>
        <v>人民币</v>
      </c>
      <c r="S12" s="2" t="str">
        <f>"1361000878"</f>
        <v>1361000878</v>
      </c>
    </row>
    <row r="13" spans="1:19">
      <c r="A13" s="2" t="str">
        <f t="shared" si="4"/>
        <v>20150527</v>
      </c>
      <c r="B13" s="2" t="str">
        <f>"150181"</f>
        <v>150181</v>
      </c>
      <c r="C13" s="2" t="str">
        <f>"军工A"</f>
        <v>军工A</v>
      </c>
      <c r="D13" s="2" t="str">
        <f>"担保品买入"</f>
        <v>担保品买入</v>
      </c>
      <c r="E13" s="2">
        <v>0.816</v>
      </c>
      <c r="F13" s="2">
        <v>10000</v>
      </c>
      <c r="G13" s="2">
        <v>8160</v>
      </c>
      <c r="H13" s="2">
        <v>5</v>
      </c>
      <c r="I13" s="2">
        <v>4.2</v>
      </c>
      <c r="J13" s="2">
        <v>0</v>
      </c>
      <c r="K13" s="2">
        <v>0</v>
      </c>
      <c r="L13" s="2">
        <v>0</v>
      </c>
      <c r="M13" s="2">
        <v>0</v>
      </c>
      <c r="N13" s="2">
        <v>-8165</v>
      </c>
      <c r="O13" s="2">
        <v>73411.17</v>
      </c>
      <c r="P13" s="2">
        <v>81634</v>
      </c>
      <c r="Q13" s="2" t="str">
        <f>"0602175409"</f>
        <v>0602175409</v>
      </c>
      <c r="R13" s="2" t="str">
        <f t="shared" si="1"/>
        <v>人民币</v>
      </c>
      <c r="S13" s="2" t="str">
        <f>"T4001217"</f>
        <v>T4001217</v>
      </c>
    </row>
    <row r="14" spans="1:18">
      <c r="A14" s="2" t="str">
        <f t="shared" si="4"/>
        <v>20150527</v>
      </c>
      <c r="D14" s="2" t="str">
        <f>"偿还融资利息"</f>
        <v>偿还融资利息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-92.33</v>
      </c>
      <c r="O14" s="2">
        <v>73318.84</v>
      </c>
      <c r="P14" s="2">
        <v>0</v>
      </c>
      <c r="R14" s="2" t="str">
        <f t="shared" si="1"/>
        <v>人民币</v>
      </c>
    </row>
    <row r="15" spans="1:18">
      <c r="A15" s="2" t="str">
        <f t="shared" si="4"/>
        <v>20150527</v>
      </c>
      <c r="D15" s="2" t="str">
        <f>"偿还融资负债本金"</f>
        <v>偿还融资负债本金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-56865.48</v>
      </c>
      <c r="O15" s="2">
        <v>16453.36</v>
      </c>
      <c r="P15" s="2">
        <v>0</v>
      </c>
      <c r="R15" s="2" t="str">
        <f t="shared" si="1"/>
        <v>人民币</v>
      </c>
    </row>
    <row r="16" spans="1:18">
      <c r="A16" s="2" t="str">
        <f>"20150528"</f>
        <v>20150528</v>
      </c>
      <c r="B16" s="2" t="str">
        <f>"600066"</f>
        <v>600066</v>
      </c>
      <c r="C16" s="2" t="str">
        <f>"宇通客车"</f>
        <v>宇通客车</v>
      </c>
      <c r="D16" s="2" t="str">
        <f>"股息红利差异扣税"</f>
        <v>股息红利差异扣税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-25</v>
      </c>
      <c r="O16" s="2">
        <v>16428.36</v>
      </c>
      <c r="P16" s="2">
        <v>0</v>
      </c>
      <c r="Q16" s="2" t="str">
        <f t="shared" si="5"/>
        <v>E021635187</v>
      </c>
      <c r="R16" s="2" t="str">
        <f t="shared" si="1"/>
        <v>人民币</v>
      </c>
    </row>
    <row r="17" spans="1:18">
      <c r="A17" s="2" t="str">
        <f>"20150528"</f>
        <v>20150528</v>
      </c>
      <c r="B17" s="2" t="str">
        <f>"600066"</f>
        <v>600066</v>
      </c>
      <c r="C17" s="2" t="str">
        <f>"宇通客车"</f>
        <v>宇通客车</v>
      </c>
      <c r="D17" s="2" t="str">
        <f>"股息红利差异扣税"</f>
        <v>股息红利差异扣税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-12.5</v>
      </c>
      <c r="O17" s="2">
        <v>16415.86</v>
      </c>
      <c r="P17" s="2">
        <v>0</v>
      </c>
      <c r="Q17" s="2" t="str">
        <f t="shared" si="5"/>
        <v>E021635187</v>
      </c>
      <c r="R17" s="2" t="str">
        <f t="shared" si="1"/>
        <v>人民币</v>
      </c>
    </row>
    <row r="18" spans="1:19">
      <c r="A18" s="2" t="str">
        <f>"20150529"</f>
        <v>20150529</v>
      </c>
      <c r="B18" s="2" t="str">
        <f>"150181"</f>
        <v>150181</v>
      </c>
      <c r="C18" s="2" t="str">
        <f>"军工A"</f>
        <v>军工A</v>
      </c>
      <c r="D18" s="2" t="str">
        <f>"担保品买入"</f>
        <v>担保品买入</v>
      </c>
      <c r="E18" s="2">
        <v>0.799</v>
      </c>
      <c r="F18" s="2">
        <v>10000</v>
      </c>
      <c r="G18" s="2">
        <v>7990</v>
      </c>
      <c r="H18" s="2">
        <v>5</v>
      </c>
      <c r="I18" s="2">
        <v>4.22</v>
      </c>
      <c r="J18" s="2">
        <v>0</v>
      </c>
      <c r="K18" s="2">
        <v>0</v>
      </c>
      <c r="L18" s="2">
        <v>0</v>
      </c>
      <c r="M18" s="2">
        <v>0</v>
      </c>
      <c r="N18" s="2">
        <v>-7995</v>
      </c>
      <c r="O18" s="2">
        <v>8420.86</v>
      </c>
      <c r="P18" s="2">
        <v>91634</v>
      </c>
      <c r="Q18" s="2" t="str">
        <f>"0602175409"</f>
        <v>0602175409</v>
      </c>
      <c r="R18" s="2" t="str">
        <f t="shared" si="1"/>
        <v>人民币</v>
      </c>
      <c r="S18" s="2" t="str">
        <f>"T4000592"</f>
        <v>T4000592</v>
      </c>
    </row>
    <row r="19" spans="1:19">
      <c r="A19" s="2" t="str">
        <f>"20150601"</f>
        <v>20150601</v>
      </c>
      <c r="B19" s="2" t="str">
        <f t="shared" ref="B19:B22" si="6">"600219"</f>
        <v>600219</v>
      </c>
      <c r="C19" s="2" t="str">
        <f t="shared" ref="C19:C22" si="7">"南山铝业"</f>
        <v>南山铝业</v>
      </c>
      <c r="D19" s="2" t="str">
        <f>"融资买入"</f>
        <v>融资买入</v>
      </c>
      <c r="E19" s="2">
        <v>11.74</v>
      </c>
      <c r="F19" s="2">
        <v>2000</v>
      </c>
      <c r="G19" s="2">
        <v>23480</v>
      </c>
      <c r="H19" s="2">
        <v>25.83</v>
      </c>
      <c r="I19" s="2">
        <v>23.72</v>
      </c>
      <c r="J19" s="2">
        <v>0</v>
      </c>
      <c r="K19" s="2">
        <v>1.2</v>
      </c>
      <c r="L19" s="2">
        <v>0</v>
      </c>
      <c r="M19" s="2">
        <v>0</v>
      </c>
      <c r="N19" s="2">
        <v>-23507.03</v>
      </c>
      <c r="O19" s="2">
        <v>-15086.17</v>
      </c>
      <c r="P19" s="2">
        <v>9400</v>
      </c>
      <c r="Q19" s="2" t="str">
        <f t="shared" ref="Q19:Q22" si="8">"E021635187"</f>
        <v>E021635187</v>
      </c>
      <c r="R19" s="2" t="str">
        <f t="shared" si="1"/>
        <v>人民币</v>
      </c>
      <c r="S19" s="2" t="str">
        <f>"1361000355"</f>
        <v>1361000355</v>
      </c>
    </row>
    <row r="20" spans="1:19">
      <c r="A20" s="2" t="str">
        <f>"20150601"</f>
        <v>20150601</v>
      </c>
      <c r="D20" s="2" t="str">
        <f>"融资借入"</f>
        <v>融资借入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23507.03</v>
      </c>
      <c r="O20" s="2">
        <v>8420.86</v>
      </c>
      <c r="P20" s="2">
        <v>0</v>
      </c>
      <c r="R20" s="2" t="str">
        <f t="shared" si="1"/>
        <v>人民币</v>
      </c>
      <c r="S20" s="2" t="str">
        <f>"1361000355"</f>
        <v>1361000355</v>
      </c>
    </row>
    <row r="21" spans="1:19">
      <c r="A21" s="2" t="str">
        <f t="shared" ref="A21:A27" si="9">"20150602"</f>
        <v>20150602</v>
      </c>
      <c r="B21" s="2" t="str">
        <f t="shared" si="6"/>
        <v>600219</v>
      </c>
      <c r="C21" s="2" t="str">
        <f t="shared" si="7"/>
        <v>南山铝业</v>
      </c>
      <c r="D21" s="2" t="str">
        <f>"担保品卖出"</f>
        <v>担保品卖出</v>
      </c>
      <c r="E21" s="2">
        <v>12.13</v>
      </c>
      <c r="F21" s="2">
        <v>2000</v>
      </c>
      <c r="G21" s="2">
        <v>24260</v>
      </c>
      <c r="H21" s="2">
        <v>12.13</v>
      </c>
      <c r="I21" s="2">
        <v>9.97</v>
      </c>
      <c r="J21" s="2">
        <v>24.26</v>
      </c>
      <c r="K21" s="2">
        <v>1.2</v>
      </c>
      <c r="L21" s="2">
        <v>0</v>
      </c>
      <c r="M21" s="2">
        <v>0</v>
      </c>
      <c r="N21" s="2">
        <v>24222.41</v>
      </c>
      <c r="O21" s="2">
        <v>32643.27</v>
      </c>
      <c r="P21" s="2">
        <v>7400</v>
      </c>
      <c r="Q21" s="2" t="str">
        <f t="shared" si="8"/>
        <v>E021635187</v>
      </c>
      <c r="R21" s="2" t="str">
        <f t="shared" si="1"/>
        <v>人民币</v>
      </c>
      <c r="S21" s="2" t="str">
        <f>"1361000261"</f>
        <v>1361000261</v>
      </c>
    </row>
    <row r="22" spans="1:19">
      <c r="A22" s="2" t="str">
        <f t="shared" si="9"/>
        <v>20150602</v>
      </c>
      <c r="B22" s="2" t="str">
        <f t="shared" si="6"/>
        <v>600219</v>
      </c>
      <c r="C22" s="2" t="str">
        <f t="shared" si="7"/>
        <v>南山铝业</v>
      </c>
      <c r="D22" s="2" t="str">
        <f>"融资买入"</f>
        <v>融资买入</v>
      </c>
      <c r="E22" s="2">
        <v>12.28</v>
      </c>
      <c r="F22" s="2">
        <v>5000</v>
      </c>
      <c r="G22" s="2">
        <v>61400</v>
      </c>
      <c r="H22" s="2">
        <v>67.54</v>
      </c>
      <c r="I22" s="2">
        <v>62.04</v>
      </c>
      <c r="J22" s="2">
        <v>0</v>
      </c>
      <c r="K22" s="2">
        <v>3</v>
      </c>
      <c r="L22" s="2">
        <v>0</v>
      </c>
      <c r="M22" s="2">
        <v>0</v>
      </c>
      <c r="N22" s="2">
        <v>-61470.54</v>
      </c>
      <c r="O22" s="2">
        <v>-28827.27</v>
      </c>
      <c r="P22" s="2">
        <v>12400</v>
      </c>
      <c r="Q22" s="2" t="str">
        <f t="shared" si="8"/>
        <v>E021635187</v>
      </c>
      <c r="R22" s="2" t="str">
        <f t="shared" si="1"/>
        <v>人民币</v>
      </c>
      <c r="S22" s="2" t="str">
        <f>"1361000461"</f>
        <v>1361000461</v>
      </c>
    </row>
    <row r="23" spans="1:19">
      <c r="A23" s="2" t="str">
        <f t="shared" si="9"/>
        <v>20150602</v>
      </c>
      <c r="D23" s="2" t="str">
        <f>"融资借入"</f>
        <v>融资借入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61470.54</v>
      </c>
      <c r="O23" s="2">
        <v>32643.27</v>
      </c>
      <c r="P23" s="2">
        <v>0</v>
      </c>
      <c r="R23" s="2" t="str">
        <f t="shared" si="1"/>
        <v>人民币</v>
      </c>
      <c r="S23" s="2" t="str">
        <f>"1361000461"</f>
        <v>1361000461</v>
      </c>
    </row>
    <row r="24" spans="1:18">
      <c r="A24" s="2" t="str">
        <f t="shared" si="9"/>
        <v>20150602</v>
      </c>
      <c r="D24" s="2" t="str">
        <f>"偿还融资利息"</f>
        <v>偿还融资利息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-5.45</v>
      </c>
      <c r="O24" s="2">
        <v>32637.82</v>
      </c>
      <c r="P24" s="2">
        <v>0</v>
      </c>
      <c r="R24" s="2" t="str">
        <f t="shared" si="1"/>
        <v>人民币</v>
      </c>
    </row>
    <row r="25" spans="1:18">
      <c r="A25" s="2" t="str">
        <f t="shared" si="9"/>
        <v>20150602</v>
      </c>
      <c r="D25" s="2" t="str">
        <f t="shared" ref="D25:D27" si="10">"偿还融资负债本金"</f>
        <v>偿还融资负债本金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-553.36</v>
      </c>
      <c r="O25" s="2">
        <v>32084.46</v>
      </c>
      <c r="P25" s="2">
        <v>0</v>
      </c>
      <c r="R25" s="2" t="str">
        <f t="shared" si="1"/>
        <v>人民币</v>
      </c>
    </row>
    <row r="26" spans="1:18">
      <c r="A26" s="2" t="str">
        <f t="shared" si="9"/>
        <v>20150602</v>
      </c>
      <c r="D26" s="2" t="str">
        <f t="shared" si="10"/>
        <v>偿还融资负债本金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-16913.23</v>
      </c>
      <c r="O26" s="2">
        <v>15171.23</v>
      </c>
      <c r="P26" s="2">
        <v>0</v>
      </c>
      <c r="R26" s="2" t="str">
        <f t="shared" si="1"/>
        <v>人民币</v>
      </c>
    </row>
    <row r="27" spans="1:18">
      <c r="A27" s="2" t="str">
        <f t="shared" si="9"/>
        <v>20150602</v>
      </c>
      <c r="D27" s="2" t="str">
        <f t="shared" si="10"/>
        <v>偿还融资负债本金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-6040.44</v>
      </c>
      <c r="O27" s="2">
        <v>9130.79</v>
      </c>
      <c r="P27" s="2">
        <v>0</v>
      </c>
      <c r="R27" s="2" t="str">
        <f t="shared" si="1"/>
        <v>人民币</v>
      </c>
    </row>
    <row r="28" spans="1:19">
      <c r="A28" s="2" t="str">
        <f t="shared" ref="A28:A38" si="11">"20150604"</f>
        <v>20150604</v>
      </c>
      <c r="B28" s="2" t="str">
        <f t="shared" ref="B28:B31" si="12">"600219"</f>
        <v>600219</v>
      </c>
      <c r="C28" s="2" t="str">
        <f t="shared" ref="C28:C31" si="13">"南山铝业"</f>
        <v>南山铝业</v>
      </c>
      <c r="D28" s="2" t="str">
        <f>"担保品卖出"</f>
        <v>担保品卖出</v>
      </c>
      <c r="E28" s="2">
        <v>12.73</v>
      </c>
      <c r="F28" s="2">
        <v>5000</v>
      </c>
      <c r="G28" s="2">
        <v>63650</v>
      </c>
      <c r="H28" s="2">
        <v>31.83</v>
      </c>
      <c r="I28" s="2">
        <v>26.13</v>
      </c>
      <c r="J28" s="2">
        <v>63.65</v>
      </c>
      <c r="K28" s="2">
        <v>3</v>
      </c>
      <c r="L28" s="2">
        <v>0</v>
      </c>
      <c r="M28" s="2">
        <v>0</v>
      </c>
      <c r="N28" s="2">
        <v>63551.52</v>
      </c>
      <c r="O28" s="2">
        <v>72682.31</v>
      </c>
      <c r="P28" s="2">
        <v>7400</v>
      </c>
      <c r="Q28" s="2" t="str">
        <f t="shared" ref="Q28:Q31" si="14">"E021635187"</f>
        <v>E021635187</v>
      </c>
      <c r="R28" s="2" t="str">
        <f t="shared" si="1"/>
        <v>人民币</v>
      </c>
      <c r="S28" s="2" t="str">
        <f>"1361000134"</f>
        <v>1361000134</v>
      </c>
    </row>
    <row r="29" spans="1:19">
      <c r="A29" s="2" t="str">
        <f t="shared" si="11"/>
        <v>20150604</v>
      </c>
      <c r="B29" s="2" t="str">
        <f t="shared" si="12"/>
        <v>600219</v>
      </c>
      <c r="C29" s="2" t="str">
        <f t="shared" si="13"/>
        <v>南山铝业</v>
      </c>
      <c r="D29" s="2" t="str">
        <f>"融资买入"</f>
        <v>融资买入</v>
      </c>
      <c r="E29" s="2">
        <v>12.71</v>
      </c>
      <c r="F29" s="2">
        <v>5000</v>
      </c>
      <c r="G29" s="2">
        <v>63550</v>
      </c>
      <c r="H29" s="2">
        <v>69.91</v>
      </c>
      <c r="I29" s="2">
        <v>64.22</v>
      </c>
      <c r="J29" s="2">
        <v>0</v>
      </c>
      <c r="K29" s="2">
        <v>3</v>
      </c>
      <c r="L29" s="2">
        <v>0</v>
      </c>
      <c r="M29" s="2">
        <v>0</v>
      </c>
      <c r="N29" s="2">
        <v>-63622.91</v>
      </c>
      <c r="O29" s="2">
        <v>9059.4</v>
      </c>
      <c r="P29" s="2">
        <v>12400</v>
      </c>
      <c r="Q29" s="2" t="str">
        <f t="shared" si="14"/>
        <v>E021635187</v>
      </c>
      <c r="R29" s="2" t="str">
        <f t="shared" si="1"/>
        <v>人民币</v>
      </c>
      <c r="S29" s="2" t="str">
        <f>"1361000366"</f>
        <v>1361000366</v>
      </c>
    </row>
    <row r="30" spans="1:19">
      <c r="A30" s="2" t="str">
        <f t="shared" si="11"/>
        <v>20150604</v>
      </c>
      <c r="B30" s="2" t="str">
        <f t="shared" si="12"/>
        <v>600219</v>
      </c>
      <c r="C30" s="2" t="str">
        <f t="shared" si="13"/>
        <v>南山铝业</v>
      </c>
      <c r="D30" s="2" t="str">
        <f>"担保品卖出"</f>
        <v>担保品卖出</v>
      </c>
      <c r="E30" s="2">
        <v>12.58</v>
      </c>
      <c r="F30" s="2">
        <v>5000</v>
      </c>
      <c r="G30" s="2">
        <v>62900</v>
      </c>
      <c r="H30" s="2">
        <v>31.45</v>
      </c>
      <c r="I30" s="2">
        <v>25.82</v>
      </c>
      <c r="J30" s="2">
        <v>62.9</v>
      </c>
      <c r="K30" s="2">
        <v>3</v>
      </c>
      <c r="L30" s="2">
        <v>0</v>
      </c>
      <c r="M30" s="2">
        <v>0</v>
      </c>
      <c r="N30" s="2">
        <v>62802.65</v>
      </c>
      <c r="O30" s="2">
        <v>71862.05</v>
      </c>
      <c r="P30" s="2">
        <v>7400</v>
      </c>
      <c r="Q30" s="2" t="str">
        <f t="shared" si="14"/>
        <v>E021635187</v>
      </c>
      <c r="R30" s="2" t="str">
        <f t="shared" si="1"/>
        <v>人民币</v>
      </c>
      <c r="S30" s="2" t="str">
        <f>"1361000551"</f>
        <v>1361000551</v>
      </c>
    </row>
    <row r="31" spans="1:19">
      <c r="A31" s="2" t="str">
        <f t="shared" si="11"/>
        <v>20150604</v>
      </c>
      <c r="B31" s="2" t="str">
        <f t="shared" si="12"/>
        <v>600219</v>
      </c>
      <c r="C31" s="2" t="str">
        <f t="shared" si="13"/>
        <v>南山铝业</v>
      </c>
      <c r="D31" s="2" t="str">
        <f>"融资买入"</f>
        <v>融资买入</v>
      </c>
      <c r="E31" s="2">
        <v>12.07</v>
      </c>
      <c r="F31" s="2">
        <v>2000</v>
      </c>
      <c r="G31" s="2">
        <v>24140</v>
      </c>
      <c r="H31" s="2">
        <v>26.55</v>
      </c>
      <c r="I31" s="2">
        <v>24.38</v>
      </c>
      <c r="J31" s="2">
        <v>0</v>
      </c>
      <c r="K31" s="2">
        <v>1.2</v>
      </c>
      <c r="L31" s="2">
        <v>0</v>
      </c>
      <c r="M31" s="2">
        <v>0</v>
      </c>
      <c r="N31" s="2">
        <v>-24167.75</v>
      </c>
      <c r="O31" s="2">
        <v>47694.3</v>
      </c>
      <c r="P31" s="2">
        <v>9400</v>
      </c>
      <c r="Q31" s="2" t="str">
        <f t="shared" si="14"/>
        <v>E021635187</v>
      </c>
      <c r="R31" s="2" t="str">
        <f t="shared" si="1"/>
        <v>人民币</v>
      </c>
      <c r="S31" s="2" t="str">
        <f>"1361001227"</f>
        <v>1361001227</v>
      </c>
    </row>
    <row r="32" spans="1:19">
      <c r="A32" s="2" t="str">
        <f t="shared" si="11"/>
        <v>20150604</v>
      </c>
      <c r="D32" s="2" t="str">
        <f>"融资借入"</f>
        <v>融资借入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63622.91</v>
      </c>
      <c r="O32" s="2">
        <v>111317.21</v>
      </c>
      <c r="P32" s="2">
        <v>0</v>
      </c>
      <c r="R32" s="2" t="str">
        <f t="shared" si="1"/>
        <v>人民币</v>
      </c>
      <c r="S32" s="2" t="str">
        <f>"1361000366"</f>
        <v>1361000366</v>
      </c>
    </row>
    <row r="33" spans="1:19">
      <c r="A33" s="2" t="str">
        <f t="shared" si="11"/>
        <v>20150604</v>
      </c>
      <c r="D33" s="2" t="str">
        <f>"融资借入"</f>
        <v>融资借入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24167.75</v>
      </c>
      <c r="O33" s="2">
        <v>135484.96</v>
      </c>
      <c r="P33" s="2">
        <v>0</v>
      </c>
      <c r="R33" s="2" t="str">
        <f t="shared" si="1"/>
        <v>人民币</v>
      </c>
      <c r="S33" s="2" t="str">
        <f>"1361001227"</f>
        <v>1361001227</v>
      </c>
    </row>
    <row r="34" spans="1:18">
      <c r="A34" s="2" t="str">
        <f t="shared" si="11"/>
        <v>20150604</v>
      </c>
      <c r="D34" s="2" t="str">
        <f>"偿还融资利息"</f>
        <v>偿还融资利息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-28.52</v>
      </c>
      <c r="O34" s="2">
        <v>135456.44</v>
      </c>
      <c r="P34" s="2">
        <v>0</v>
      </c>
      <c r="R34" s="2" t="str">
        <f t="shared" si="1"/>
        <v>人民币</v>
      </c>
    </row>
    <row r="35" spans="1:18">
      <c r="A35" s="2" t="str">
        <f t="shared" si="11"/>
        <v>20150604</v>
      </c>
      <c r="D35" s="2" t="str">
        <f t="shared" ref="D35:D38" si="15">"偿还融资负债本金"</f>
        <v>偿还融资负债本金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-9000</v>
      </c>
      <c r="O35" s="2">
        <v>126456.44</v>
      </c>
      <c r="P35" s="2">
        <v>0</v>
      </c>
      <c r="R35" s="2" t="str">
        <f t="shared" si="1"/>
        <v>人民币</v>
      </c>
    </row>
    <row r="36" spans="1:18">
      <c r="A36" s="2" t="str">
        <f t="shared" si="11"/>
        <v>20150604</v>
      </c>
      <c r="D36" s="2" t="str">
        <f t="shared" si="15"/>
        <v>偿还融资负债本金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-61470.54</v>
      </c>
      <c r="O36" s="2">
        <v>64985.9</v>
      </c>
      <c r="P36" s="2">
        <v>0</v>
      </c>
      <c r="R36" s="2" t="str">
        <f t="shared" si="1"/>
        <v>人民币</v>
      </c>
    </row>
    <row r="37" spans="1:18">
      <c r="A37" s="2" t="str">
        <f t="shared" si="11"/>
        <v>20150604</v>
      </c>
      <c r="D37" s="2" t="str">
        <f t="shared" si="15"/>
        <v>偿还融资负债本金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-21942.97</v>
      </c>
      <c r="O37" s="2">
        <v>43042.93</v>
      </c>
      <c r="P37" s="2">
        <v>0</v>
      </c>
      <c r="R37" s="2" t="str">
        <f t="shared" si="1"/>
        <v>人民币</v>
      </c>
    </row>
    <row r="38" spans="1:18">
      <c r="A38" s="2" t="str">
        <f t="shared" si="11"/>
        <v>20150604</v>
      </c>
      <c r="D38" s="2" t="str">
        <f t="shared" si="15"/>
        <v>偿还融资负债本金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-32679.94</v>
      </c>
      <c r="O38" s="2">
        <v>10362.99</v>
      </c>
      <c r="P38" s="2">
        <v>0</v>
      </c>
      <c r="R38" s="2" t="str">
        <f t="shared" si="1"/>
        <v>人民币</v>
      </c>
    </row>
    <row r="39" spans="1:19">
      <c r="A39" s="2" t="str">
        <f t="shared" ref="A39:A41" si="16">"20150605"</f>
        <v>20150605</v>
      </c>
      <c r="B39" s="2" t="str">
        <f t="shared" ref="B39:B46" si="17">"600219"</f>
        <v>600219</v>
      </c>
      <c r="C39" s="2" t="str">
        <f t="shared" ref="C39:C46" si="18">"南山铝业"</f>
        <v>南山铝业</v>
      </c>
      <c r="D39" s="2" t="str">
        <f>"担保品卖出"</f>
        <v>担保品卖出</v>
      </c>
      <c r="E39" s="2">
        <v>12.91</v>
      </c>
      <c r="F39" s="2">
        <v>2000</v>
      </c>
      <c r="G39" s="2">
        <v>25820</v>
      </c>
      <c r="H39" s="2">
        <v>12.91</v>
      </c>
      <c r="I39" s="2">
        <v>10.59</v>
      </c>
      <c r="J39" s="2">
        <v>25.82</v>
      </c>
      <c r="K39" s="2">
        <v>1.2</v>
      </c>
      <c r="L39" s="2">
        <v>0</v>
      </c>
      <c r="M39" s="2">
        <v>0</v>
      </c>
      <c r="N39" s="2">
        <v>25780.07</v>
      </c>
      <c r="O39" s="2">
        <v>36143.06</v>
      </c>
      <c r="P39" s="2">
        <v>7400</v>
      </c>
      <c r="Q39" s="2" t="str">
        <f t="shared" ref="Q39:Q46" si="19">"E021635187"</f>
        <v>E021635187</v>
      </c>
      <c r="R39" s="2" t="str">
        <f t="shared" si="1"/>
        <v>人民币</v>
      </c>
      <c r="S39" s="2" t="str">
        <f>"1361000309"</f>
        <v>1361000309</v>
      </c>
    </row>
    <row r="40" spans="1:18">
      <c r="A40" s="2" t="str">
        <f t="shared" si="16"/>
        <v>20150605</v>
      </c>
      <c r="D40" s="2" t="str">
        <f>"偿还融资利息"</f>
        <v>偿还融资利息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-5.61</v>
      </c>
      <c r="O40" s="2">
        <v>36137.45</v>
      </c>
      <c r="P40" s="2">
        <v>0</v>
      </c>
      <c r="R40" s="2" t="str">
        <f t="shared" si="1"/>
        <v>人民币</v>
      </c>
    </row>
    <row r="41" spans="1:18">
      <c r="A41" s="2" t="str">
        <f t="shared" si="16"/>
        <v>20150605</v>
      </c>
      <c r="D41" s="2" t="str">
        <f>"偿还融资负债本金"</f>
        <v>偿还融资负债本金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-24167.75</v>
      </c>
      <c r="O41" s="2">
        <v>11969.7</v>
      </c>
      <c r="P41" s="2">
        <v>0</v>
      </c>
      <c r="R41" s="2" t="str">
        <f t="shared" si="1"/>
        <v>人民币</v>
      </c>
    </row>
    <row r="42" spans="1:19">
      <c r="A42" s="2" t="str">
        <f>"20150608"</f>
        <v>20150608</v>
      </c>
      <c r="B42" s="2" t="str">
        <f>"150181"</f>
        <v>150181</v>
      </c>
      <c r="C42" s="2" t="str">
        <f>"军工A"</f>
        <v>军工A</v>
      </c>
      <c r="D42" s="2" t="str">
        <f t="shared" ref="D42:D47" si="20">"担保品买入"</f>
        <v>担保品买入</v>
      </c>
      <c r="E42" s="2">
        <v>0.809</v>
      </c>
      <c r="F42" s="2">
        <v>14600</v>
      </c>
      <c r="G42" s="2">
        <v>11811.4</v>
      </c>
      <c r="H42" s="2">
        <v>5.91</v>
      </c>
      <c r="I42" s="2">
        <v>4.76</v>
      </c>
      <c r="J42" s="2">
        <v>0</v>
      </c>
      <c r="K42" s="2">
        <v>0</v>
      </c>
      <c r="L42" s="2">
        <v>0</v>
      </c>
      <c r="M42" s="2">
        <v>0</v>
      </c>
      <c r="N42" s="2">
        <v>-11817.31</v>
      </c>
      <c r="O42" s="2">
        <v>152.39</v>
      </c>
      <c r="P42" s="2">
        <v>106234</v>
      </c>
      <c r="Q42" s="2" t="str">
        <f>"0602175409"</f>
        <v>0602175409</v>
      </c>
      <c r="R42" s="2" t="str">
        <f t="shared" si="1"/>
        <v>人民币</v>
      </c>
      <c r="S42" s="2" t="str">
        <f>"T4001057"</f>
        <v>T4001057</v>
      </c>
    </row>
    <row r="43" spans="1:18">
      <c r="A43" s="2" t="str">
        <f>"20150609"</f>
        <v>20150609</v>
      </c>
      <c r="B43" s="2" t="str">
        <f t="shared" si="17"/>
        <v>600219</v>
      </c>
      <c r="C43" s="2" t="str">
        <f t="shared" si="18"/>
        <v>南山铝业</v>
      </c>
      <c r="D43" s="2" t="str">
        <f>"红利入账"</f>
        <v>红利入账</v>
      </c>
      <c r="E43" s="2">
        <v>0</v>
      </c>
      <c r="F43" s="2">
        <v>7400</v>
      </c>
      <c r="G43" s="2">
        <v>703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703</v>
      </c>
      <c r="O43" s="2">
        <v>855.39</v>
      </c>
      <c r="P43" s="2">
        <v>0</v>
      </c>
      <c r="Q43" s="2" t="str">
        <f t="shared" si="19"/>
        <v>E021635187</v>
      </c>
      <c r="R43" s="2" t="str">
        <f t="shared" si="1"/>
        <v>人民币</v>
      </c>
    </row>
    <row r="44" spans="1:19">
      <c r="A44" s="2" t="str">
        <f>"20150615"</f>
        <v>20150615</v>
      </c>
      <c r="B44" s="2" t="str">
        <f t="shared" si="17"/>
        <v>600219</v>
      </c>
      <c r="C44" s="2" t="str">
        <f t="shared" si="18"/>
        <v>南山铝业</v>
      </c>
      <c r="D44" s="2" t="str">
        <f>"担保品卖出"</f>
        <v>担保品卖出</v>
      </c>
      <c r="E44" s="2">
        <v>13.18</v>
      </c>
      <c r="F44" s="2">
        <v>5000</v>
      </c>
      <c r="G44" s="2">
        <v>65900</v>
      </c>
      <c r="H44" s="2">
        <v>32.95</v>
      </c>
      <c r="I44" s="2">
        <v>27.04</v>
      </c>
      <c r="J44" s="2">
        <v>65.9</v>
      </c>
      <c r="K44" s="2">
        <v>3</v>
      </c>
      <c r="L44" s="2">
        <v>0</v>
      </c>
      <c r="M44" s="2">
        <v>0</v>
      </c>
      <c r="N44" s="2">
        <v>65798.15</v>
      </c>
      <c r="O44" s="2">
        <v>66653.54</v>
      </c>
      <c r="P44" s="2">
        <v>2400</v>
      </c>
      <c r="Q44" s="2" t="str">
        <f t="shared" si="19"/>
        <v>E021635187</v>
      </c>
      <c r="R44" s="2" t="str">
        <f t="shared" si="1"/>
        <v>人民币</v>
      </c>
      <c r="S44" s="2" t="str">
        <f>"1361000643"</f>
        <v>1361000643</v>
      </c>
    </row>
    <row r="45" spans="1:19">
      <c r="A45" s="2" t="str">
        <f>"20150615"</f>
        <v>20150615</v>
      </c>
      <c r="B45" s="2" t="str">
        <f t="shared" si="17"/>
        <v>600219</v>
      </c>
      <c r="C45" s="2" t="str">
        <f t="shared" si="18"/>
        <v>南山铝业</v>
      </c>
      <c r="D45" s="2" t="str">
        <f t="shared" si="20"/>
        <v>担保品买入</v>
      </c>
      <c r="E45" s="2">
        <v>12.95</v>
      </c>
      <c r="F45" s="2">
        <v>5000</v>
      </c>
      <c r="G45" s="2">
        <v>64750</v>
      </c>
      <c r="H45" s="2">
        <v>32.38</v>
      </c>
      <c r="I45" s="2">
        <v>26.57</v>
      </c>
      <c r="J45" s="2">
        <v>0</v>
      </c>
      <c r="K45" s="2">
        <v>3</v>
      </c>
      <c r="L45" s="2">
        <v>0</v>
      </c>
      <c r="M45" s="2">
        <v>0</v>
      </c>
      <c r="N45" s="2">
        <v>-64785.38</v>
      </c>
      <c r="O45" s="2">
        <v>1868.16</v>
      </c>
      <c r="P45" s="2">
        <v>7400</v>
      </c>
      <c r="Q45" s="2" t="str">
        <f t="shared" si="19"/>
        <v>E021635187</v>
      </c>
      <c r="R45" s="2" t="str">
        <f t="shared" si="1"/>
        <v>人民币</v>
      </c>
      <c r="S45" s="2" t="str">
        <f>"1361000900"</f>
        <v>1361000900</v>
      </c>
    </row>
    <row r="46" spans="1:19">
      <c r="A46" s="2" t="str">
        <f>"20150616"</f>
        <v>20150616</v>
      </c>
      <c r="B46" s="2" t="str">
        <f t="shared" si="17"/>
        <v>600219</v>
      </c>
      <c r="C46" s="2" t="str">
        <f t="shared" si="18"/>
        <v>南山铝业</v>
      </c>
      <c r="D46" s="2" t="str">
        <f>"担保品卖出"</f>
        <v>担保品卖出</v>
      </c>
      <c r="E46" s="2">
        <v>12.63</v>
      </c>
      <c r="F46" s="2">
        <v>7400</v>
      </c>
      <c r="G46" s="2">
        <v>93462</v>
      </c>
      <c r="H46" s="2">
        <v>46.73</v>
      </c>
      <c r="I46" s="2">
        <v>38.36</v>
      </c>
      <c r="J46" s="2">
        <v>93.46</v>
      </c>
      <c r="K46" s="2">
        <v>4.44</v>
      </c>
      <c r="L46" s="2">
        <v>0</v>
      </c>
      <c r="M46" s="2">
        <v>0</v>
      </c>
      <c r="N46" s="2">
        <v>93317.37</v>
      </c>
      <c r="O46" s="2">
        <v>95185.53</v>
      </c>
      <c r="P46" s="2">
        <v>0</v>
      </c>
      <c r="Q46" s="2" t="str">
        <f t="shared" si="19"/>
        <v>E021635187</v>
      </c>
      <c r="R46" s="2" t="str">
        <f t="shared" si="1"/>
        <v>人民币</v>
      </c>
      <c r="S46" s="2" t="str">
        <f>"1361000073"</f>
        <v>1361000073</v>
      </c>
    </row>
    <row r="47" spans="1:19">
      <c r="A47" s="2" t="str">
        <f>"20150616"</f>
        <v>20150616</v>
      </c>
      <c r="B47" s="2" t="str">
        <f>"150259"</f>
        <v>150259</v>
      </c>
      <c r="C47" s="2" t="str">
        <f>"重组A"</f>
        <v>重组A</v>
      </c>
      <c r="D47" s="2" t="str">
        <f t="shared" si="20"/>
        <v>担保品买入</v>
      </c>
      <c r="E47" s="2">
        <v>0.767</v>
      </c>
      <c r="F47" s="2">
        <v>122900</v>
      </c>
      <c r="G47" s="2">
        <v>94264.3</v>
      </c>
      <c r="H47" s="2">
        <v>47.13</v>
      </c>
      <c r="I47" s="2">
        <v>37.94</v>
      </c>
      <c r="J47" s="2">
        <v>0</v>
      </c>
      <c r="K47" s="2">
        <v>0</v>
      </c>
      <c r="L47" s="2">
        <v>0</v>
      </c>
      <c r="M47" s="2">
        <v>0</v>
      </c>
      <c r="N47" s="2">
        <v>-94311.43</v>
      </c>
      <c r="O47" s="2">
        <v>874.1</v>
      </c>
      <c r="P47" s="2">
        <v>122900</v>
      </c>
      <c r="Q47" s="2" t="str">
        <f>"0602175409"</f>
        <v>0602175409</v>
      </c>
      <c r="R47" s="2" t="str">
        <f t="shared" si="1"/>
        <v>人民币</v>
      </c>
      <c r="S47" s="2" t="str">
        <f>"T4000180"</f>
        <v>T4000180</v>
      </c>
    </row>
    <row r="48" spans="1:18">
      <c r="A48" s="2" t="str">
        <f t="shared" ref="A48:A50" si="21">"20150617"</f>
        <v>20150617</v>
      </c>
      <c r="B48" s="2" t="str">
        <f t="shared" ref="B48:B50" si="22">"600219"</f>
        <v>600219</v>
      </c>
      <c r="C48" s="2" t="str">
        <f t="shared" ref="C48:C50" si="23">"南山铝业"</f>
        <v>南山铝业</v>
      </c>
      <c r="D48" s="2" t="str">
        <f t="shared" ref="D48:D50" si="24">"股息红利差异扣税"</f>
        <v>股息红利差异扣税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-36</v>
      </c>
      <c r="O48" s="2">
        <v>838.1</v>
      </c>
      <c r="P48" s="2">
        <v>0</v>
      </c>
      <c r="Q48" s="2" t="str">
        <f t="shared" ref="Q48:Q50" si="25">"E021635187"</f>
        <v>E021635187</v>
      </c>
      <c r="R48" s="2" t="str">
        <f t="shared" si="1"/>
        <v>人民币</v>
      </c>
    </row>
    <row r="49" spans="1:18">
      <c r="A49" s="2" t="str">
        <f t="shared" si="21"/>
        <v>20150617</v>
      </c>
      <c r="B49" s="2" t="str">
        <f t="shared" si="22"/>
        <v>600219</v>
      </c>
      <c r="C49" s="2" t="str">
        <f t="shared" si="23"/>
        <v>南山铝业</v>
      </c>
      <c r="D49" s="2" t="str">
        <f t="shared" si="24"/>
        <v>股息红利差异扣税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-30</v>
      </c>
      <c r="O49" s="2">
        <v>808.1</v>
      </c>
      <c r="P49" s="2">
        <v>0</v>
      </c>
      <c r="Q49" s="2" t="str">
        <f t="shared" si="25"/>
        <v>E021635187</v>
      </c>
      <c r="R49" s="2" t="str">
        <f t="shared" si="1"/>
        <v>人民币</v>
      </c>
    </row>
    <row r="50" spans="1:18">
      <c r="A50" s="2" t="str">
        <f t="shared" si="21"/>
        <v>20150617</v>
      </c>
      <c r="B50" s="2" t="str">
        <f t="shared" si="22"/>
        <v>600219</v>
      </c>
      <c r="C50" s="2" t="str">
        <f t="shared" si="23"/>
        <v>南山铝业</v>
      </c>
      <c r="D50" s="2" t="str">
        <f t="shared" si="24"/>
        <v>股息红利差异扣税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-45</v>
      </c>
      <c r="O50" s="2">
        <v>763.1</v>
      </c>
      <c r="P50" s="2">
        <v>0</v>
      </c>
      <c r="Q50" s="2" t="str">
        <f t="shared" si="25"/>
        <v>E021635187</v>
      </c>
      <c r="R50" s="2" t="str">
        <f t="shared" si="1"/>
        <v>人民币</v>
      </c>
    </row>
    <row r="51" spans="1:19">
      <c r="A51" s="2" t="str">
        <f>"20150618"</f>
        <v>20150618</v>
      </c>
      <c r="B51" s="2" t="str">
        <f>"150259"</f>
        <v>150259</v>
      </c>
      <c r="C51" s="2" t="str">
        <f>"重组A"</f>
        <v>重组A</v>
      </c>
      <c r="D51" s="2" t="str">
        <f>"担保品卖出"</f>
        <v>担保品卖出</v>
      </c>
      <c r="E51" s="2">
        <v>0.777</v>
      </c>
      <c r="F51" s="2">
        <v>122900</v>
      </c>
      <c r="G51" s="2">
        <v>95493.3</v>
      </c>
      <c r="H51" s="2">
        <v>47.75</v>
      </c>
      <c r="I51" s="2">
        <v>38.44</v>
      </c>
      <c r="J51" s="2">
        <v>0</v>
      </c>
      <c r="K51" s="2">
        <v>0</v>
      </c>
      <c r="L51" s="2">
        <v>0</v>
      </c>
      <c r="M51" s="2">
        <v>0</v>
      </c>
      <c r="N51" s="2">
        <v>95445.55</v>
      </c>
      <c r="O51" s="2">
        <v>96208.65</v>
      </c>
      <c r="P51" s="2">
        <v>0</v>
      </c>
      <c r="Q51" s="2" t="str">
        <f>"0602175409"</f>
        <v>0602175409</v>
      </c>
      <c r="R51" s="2" t="str">
        <f t="shared" si="1"/>
        <v>人民币</v>
      </c>
      <c r="S51" s="2" t="str">
        <f>"T4000552"</f>
        <v>T4000552</v>
      </c>
    </row>
    <row r="52" spans="1:18">
      <c r="A52" s="2" t="str">
        <f t="shared" ref="A52:A66" si="26">"20150619"</f>
        <v>20150619</v>
      </c>
      <c r="D52" s="2" t="str">
        <f>"利息归本"</f>
        <v>利息归本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2.24</v>
      </c>
      <c r="O52" s="2">
        <v>96210.89</v>
      </c>
      <c r="P52" s="2">
        <v>0</v>
      </c>
      <c r="R52" s="2" t="str">
        <f t="shared" si="1"/>
        <v>人民币</v>
      </c>
    </row>
    <row r="53" spans="1:19">
      <c r="A53" s="2" t="str">
        <f t="shared" si="26"/>
        <v>20150619</v>
      </c>
      <c r="B53" s="2" t="str">
        <f t="shared" ref="B53:B59" si="27">"600066"</f>
        <v>600066</v>
      </c>
      <c r="C53" s="2" t="str">
        <f t="shared" ref="C53:C59" si="28">"宇通客车"</f>
        <v>宇通客车</v>
      </c>
      <c r="D53" s="2" t="str">
        <f t="shared" ref="D53:D56" si="29">"融资买入"</f>
        <v>融资买入</v>
      </c>
      <c r="E53" s="2">
        <v>21.65</v>
      </c>
      <c r="F53" s="2">
        <v>1000</v>
      </c>
      <c r="G53" s="2">
        <v>21650</v>
      </c>
      <c r="H53" s="2">
        <v>23.82</v>
      </c>
      <c r="I53" s="2">
        <v>21.89</v>
      </c>
      <c r="J53" s="2">
        <v>0</v>
      </c>
      <c r="K53" s="2">
        <v>0.6</v>
      </c>
      <c r="L53" s="2">
        <v>0</v>
      </c>
      <c r="M53" s="2">
        <v>0</v>
      </c>
      <c r="N53" s="2">
        <v>-21674.42</v>
      </c>
      <c r="O53" s="2">
        <v>74536.47</v>
      </c>
      <c r="P53" s="2">
        <v>2500</v>
      </c>
      <c r="Q53" s="2" t="str">
        <f t="shared" ref="Q53:Q59" si="30">"E021635187"</f>
        <v>E021635187</v>
      </c>
      <c r="R53" s="2" t="str">
        <f t="shared" si="1"/>
        <v>人民币</v>
      </c>
      <c r="S53" s="2" t="str">
        <f>"1361000364"</f>
        <v>1361000364</v>
      </c>
    </row>
    <row r="54" spans="1:19">
      <c r="A54" s="2" t="str">
        <f t="shared" si="26"/>
        <v>20150619</v>
      </c>
      <c r="B54" s="2" t="str">
        <f t="shared" si="27"/>
        <v>600066</v>
      </c>
      <c r="C54" s="2" t="str">
        <f t="shared" si="28"/>
        <v>宇通客车</v>
      </c>
      <c r="D54" s="2" t="str">
        <f t="shared" si="29"/>
        <v>融资买入</v>
      </c>
      <c r="E54" s="2">
        <v>21.2</v>
      </c>
      <c r="F54" s="2">
        <v>1336</v>
      </c>
      <c r="G54" s="2">
        <v>28323.2</v>
      </c>
      <c r="H54" s="2">
        <v>31.16</v>
      </c>
      <c r="I54" s="2">
        <v>28.63</v>
      </c>
      <c r="J54" s="2">
        <v>0</v>
      </c>
      <c r="K54" s="2">
        <v>0.8</v>
      </c>
      <c r="L54" s="2">
        <v>0</v>
      </c>
      <c r="M54" s="2">
        <v>0</v>
      </c>
      <c r="N54" s="2">
        <v>-28355.16</v>
      </c>
      <c r="O54" s="2">
        <v>46181.31</v>
      </c>
      <c r="P54" s="2">
        <v>3836</v>
      </c>
      <c r="Q54" s="2" t="str">
        <f t="shared" si="30"/>
        <v>E021635187</v>
      </c>
      <c r="R54" s="2" t="str">
        <f t="shared" si="1"/>
        <v>人民币</v>
      </c>
      <c r="S54" s="2" t="str">
        <f>"1361000497"</f>
        <v>1361000497</v>
      </c>
    </row>
    <row r="55" spans="1:19">
      <c r="A55" s="2" t="str">
        <f t="shared" si="26"/>
        <v>20150619</v>
      </c>
      <c r="B55" s="2" t="str">
        <f t="shared" si="27"/>
        <v>600066</v>
      </c>
      <c r="C55" s="2" t="str">
        <f t="shared" si="28"/>
        <v>宇通客车</v>
      </c>
      <c r="D55" s="2" t="str">
        <f t="shared" si="29"/>
        <v>融资买入</v>
      </c>
      <c r="E55" s="2">
        <v>20.84</v>
      </c>
      <c r="F55" s="2">
        <v>1200</v>
      </c>
      <c r="G55" s="2">
        <v>25008</v>
      </c>
      <c r="H55" s="2">
        <v>27.51</v>
      </c>
      <c r="I55" s="2">
        <v>25.27</v>
      </c>
      <c r="J55" s="2">
        <v>0</v>
      </c>
      <c r="K55" s="2">
        <v>0.72</v>
      </c>
      <c r="L55" s="2">
        <v>0</v>
      </c>
      <c r="M55" s="2">
        <v>0</v>
      </c>
      <c r="N55" s="2">
        <v>-25036.23</v>
      </c>
      <c r="O55" s="2">
        <v>21145.08</v>
      </c>
      <c r="P55" s="2">
        <v>5036</v>
      </c>
      <c r="Q55" s="2" t="str">
        <f t="shared" si="30"/>
        <v>E021635187</v>
      </c>
      <c r="R55" s="2" t="str">
        <f t="shared" si="1"/>
        <v>人民币</v>
      </c>
      <c r="S55" s="2" t="str">
        <f>"1361000884"</f>
        <v>1361000884</v>
      </c>
    </row>
    <row r="56" spans="1:19">
      <c r="A56" s="2" t="str">
        <f t="shared" si="26"/>
        <v>20150619</v>
      </c>
      <c r="B56" s="2" t="str">
        <f t="shared" si="27"/>
        <v>600066</v>
      </c>
      <c r="C56" s="2" t="str">
        <f t="shared" si="28"/>
        <v>宇通客车</v>
      </c>
      <c r="D56" s="2" t="str">
        <f t="shared" si="29"/>
        <v>融资买入</v>
      </c>
      <c r="E56" s="2">
        <v>21.2</v>
      </c>
      <c r="F56" s="2">
        <v>1000</v>
      </c>
      <c r="G56" s="2">
        <v>21200</v>
      </c>
      <c r="H56" s="2">
        <v>23.32</v>
      </c>
      <c r="I56" s="2">
        <v>21.42</v>
      </c>
      <c r="J56" s="2">
        <v>0</v>
      </c>
      <c r="K56" s="2">
        <v>0.6</v>
      </c>
      <c r="L56" s="2">
        <v>0</v>
      </c>
      <c r="M56" s="2">
        <v>0</v>
      </c>
      <c r="N56" s="2">
        <v>-21223.92</v>
      </c>
      <c r="O56" s="2">
        <v>-78.84</v>
      </c>
      <c r="P56" s="2">
        <v>6036</v>
      </c>
      <c r="Q56" s="2" t="str">
        <f t="shared" si="30"/>
        <v>E021635187</v>
      </c>
      <c r="R56" s="2" t="str">
        <f t="shared" si="1"/>
        <v>人民币</v>
      </c>
      <c r="S56" s="2" t="str">
        <f>"1361000962"</f>
        <v>1361000962</v>
      </c>
    </row>
    <row r="57" spans="1:19">
      <c r="A57" s="2" t="str">
        <f t="shared" si="26"/>
        <v>20150619</v>
      </c>
      <c r="B57" s="2" t="str">
        <f t="shared" si="27"/>
        <v>600066</v>
      </c>
      <c r="C57" s="2" t="str">
        <f t="shared" si="28"/>
        <v>宇通客车</v>
      </c>
      <c r="D57" s="2" t="str">
        <f>"卖券还款"</f>
        <v>卖券还款</v>
      </c>
      <c r="E57" s="2">
        <v>21.57</v>
      </c>
      <c r="F57" s="2">
        <v>500</v>
      </c>
      <c r="G57" s="2">
        <v>10785</v>
      </c>
      <c r="H57" s="2">
        <v>11.86</v>
      </c>
      <c r="I57" s="2">
        <v>10.89</v>
      </c>
      <c r="J57" s="2">
        <v>10.79</v>
      </c>
      <c r="K57" s="2">
        <v>0.3</v>
      </c>
      <c r="L57" s="2">
        <v>0</v>
      </c>
      <c r="M57" s="2">
        <v>0</v>
      </c>
      <c r="N57" s="2">
        <v>10762.05</v>
      </c>
      <c r="O57" s="2">
        <v>10683.21</v>
      </c>
      <c r="P57" s="2">
        <v>5536</v>
      </c>
      <c r="Q57" s="2" t="str">
        <f t="shared" si="30"/>
        <v>E021635187</v>
      </c>
      <c r="R57" s="2" t="str">
        <f t="shared" si="1"/>
        <v>人民币</v>
      </c>
      <c r="S57" s="2" t="str">
        <f>"1361001063"</f>
        <v>1361001063</v>
      </c>
    </row>
    <row r="58" spans="1:19">
      <c r="A58" s="2" t="str">
        <f t="shared" si="26"/>
        <v>20150619</v>
      </c>
      <c r="B58" s="2" t="str">
        <f t="shared" si="27"/>
        <v>600066</v>
      </c>
      <c r="C58" s="2" t="str">
        <f t="shared" si="28"/>
        <v>宇通客车</v>
      </c>
      <c r="D58" s="2" t="str">
        <f>"卖券还款"</f>
        <v>卖券还款</v>
      </c>
      <c r="E58" s="2">
        <v>21.47</v>
      </c>
      <c r="F58" s="2">
        <v>500</v>
      </c>
      <c r="G58" s="2">
        <v>10735</v>
      </c>
      <c r="H58" s="2">
        <v>11.81</v>
      </c>
      <c r="I58" s="2">
        <v>10.85</v>
      </c>
      <c r="J58" s="2">
        <v>10.74</v>
      </c>
      <c r="K58" s="2">
        <v>0.3</v>
      </c>
      <c r="L58" s="2">
        <v>0</v>
      </c>
      <c r="M58" s="2">
        <v>0</v>
      </c>
      <c r="N58" s="2">
        <v>10712.15</v>
      </c>
      <c r="O58" s="2">
        <v>21395.36</v>
      </c>
      <c r="P58" s="2">
        <v>5036</v>
      </c>
      <c r="Q58" s="2" t="str">
        <f t="shared" si="30"/>
        <v>E021635187</v>
      </c>
      <c r="R58" s="2" t="str">
        <f t="shared" si="1"/>
        <v>人民币</v>
      </c>
      <c r="S58" s="2" t="str">
        <f>"1361001067"</f>
        <v>1361001067</v>
      </c>
    </row>
    <row r="59" spans="1:19">
      <c r="A59" s="2" t="str">
        <f t="shared" si="26"/>
        <v>20150619</v>
      </c>
      <c r="B59" s="2" t="str">
        <f t="shared" si="27"/>
        <v>600066</v>
      </c>
      <c r="C59" s="2" t="str">
        <f t="shared" si="28"/>
        <v>宇通客车</v>
      </c>
      <c r="D59" s="2" t="str">
        <f>"融资买入"</f>
        <v>融资买入</v>
      </c>
      <c r="E59" s="2">
        <v>20.63</v>
      </c>
      <c r="F59" s="2">
        <v>1000</v>
      </c>
      <c r="G59" s="2">
        <v>20630</v>
      </c>
      <c r="H59" s="2">
        <v>22.69</v>
      </c>
      <c r="I59" s="2">
        <v>20.84</v>
      </c>
      <c r="J59" s="2">
        <v>0</v>
      </c>
      <c r="K59" s="2">
        <v>0.6</v>
      </c>
      <c r="L59" s="2">
        <v>0</v>
      </c>
      <c r="M59" s="2">
        <v>0</v>
      </c>
      <c r="N59" s="2">
        <v>-20653.29</v>
      </c>
      <c r="O59" s="2">
        <v>742.07</v>
      </c>
      <c r="P59" s="2">
        <v>6036</v>
      </c>
      <c r="Q59" s="2" t="str">
        <f t="shared" si="30"/>
        <v>E021635187</v>
      </c>
      <c r="R59" s="2" t="str">
        <f t="shared" si="1"/>
        <v>人民币</v>
      </c>
      <c r="S59" s="2" t="str">
        <f>"1361001251"</f>
        <v>1361001251</v>
      </c>
    </row>
    <row r="60" spans="1:19">
      <c r="A60" s="2" t="str">
        <f t="shared" si="26"/>
        <v>20150619</v>
      </c>
      <c r="D60" s="2" t="str">
        <f t="shared" ref="D60:D64" si="31">"融资借入"</f>
        <v>融资借入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21674.42</v>
      </c>
      <c r="O60" s="2">
        <v>22416.49</v>
      </c>
      <c r="P60" s="2">
        <v>0</v>
      </c>
      <c r="R60" s="2" t="str">
        <f t="shared" si="1"/>
        <v>人民币</v>
      </c>
      <c r="S60" s="2" t="str">
        <f>"1361000364"</f>
        <v>1361000364</v>
      </c>
    </row>
    <row r="61" spans="1:19">
      <c r="A61" s="2" t="str">
        <f t="shared" si="26"/>
        <v>20150619</v>
      </c>
      <c r="D61" s="2" t="str">
        <f t="shared" si="31"/>
        <v>融资借入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28355.16</v>
      </c>
      <c r="O61" s="2">
        <v>50771.65</v>
      </c>
      <c r="P61" s="2">
        <v>0</v>
      </c>
      <c r="R61" s="2" t="str">
        <f t="shared" si="1"/>
        <v>人民币</v>
      </c>
      <c r="S61" s="2" t="str">
        <f>"1361000497"</f>
        <v>1361000497</v>
      </c>
    </row>
    <row r="62" spans="1:19">
      <c r="A62" s="2" t="str">
        <f t="shared" si="26"/>
        <v>20150619</v>
      </c>
      <c r="D62" s="2" t="str">
        <f t="shared" si="31"/>
        <v>融资借入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25036.23</v>
      </c>
      <c r="O62" s="2">
        <v>75807.88</v>
      </c>
      <c r="P62" s="2">
        <v>0</v>
      </c>
      <c r="R62" s="2" t="str">
        <f t="shared" si="1"/>
        <v>人民币</v>
      </c>
      <c r="S62" s="2" t="str">
        <f>"1361000884"</f>
        <v>1361000884</v>
      </c>
    </row>
    <row r="63" spans="1:19">
      <c r="A63" s="2" t="str">
        <f t="shared" si="26"/>
        <v>20150619</v>
      </c>
      <c r="D63" s="2" t="str">
        <f t="shared" si="31"/>
        <v>融资借入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21223.92</v>
      </c>
      <c r="O63" s="2">
        <v>97031.8</v>
      </c>
      <c r="P63" s="2">
        <v>0</v>
      </c>
      <c r="R63" s="2" t="str">
        <f t="shared" si="1"/>
        <v>人民币</v>
      </c>
      <c r="S63" s="2" t="str">
        <f>"1361000962"</f>
        <v>1361000962</v>
      </c>
    </row>
    <row r="64" spans="1:19">
      <c r="A64" s="2" t="str">
        <f t="shared" si="26"/>
        <v>20150619</v>
      </c>
      <c r="D64" s="2" t="str">
        <f t="shared" si="31"/>
        <v>融资借入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20653.29</v>
      </c>
      <c r="O64" s="2">
        <v>117685.09</v>
      </c>
      <c r="P64" s="2">
        <v>0</v>
      </c>
      <c r="R64" s="2" t="str">
        <f t="shared" si="1"/>
        <v>人民币</v>
      </c>
      <c r="S64" s="2" t="str">
        <f>"1361001251"</f>
        <v>1361001251</v>
      </c>
    </row>
    <row r="65" spans="1:19">
      <c r="A65" s="2" t="str">
        <f t="shared" si="26"/>
        <v>20150619</v>
      </c>
      <c r="D65" s="2" t="str">
        <f>"偿还融资负债本金"</f>
        <v>偿还融资负债本金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-10762.05</v>
      </c>
      <c r="O65" s="2">
        <v>106923.04</v>
      </c>
      <c r="P65" s="2">
        <v>0</v>
      </c>
      <c r="R65" s="2" t="str">
        <f t="shared" si="1"/>
        <v>人民币</v>
      </c>
      <c r="S65" s="2" t="str">
        <f>"1361001063"</f>
        <v>1361001063</v>
      </c>
    </row>
    <row r="66" spans="1:19">
      <c r="A66" s="2" t="str">
        <f t="shared" si="26"/>
        <v>20150619</v>
      </c>
      <c r="D66" s="2" t="str">
        <f>"偿还融资负债本金"</f>
        <v>偿还融资负债本金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-10712.15</v>
      </c>
      <c r="O66" s="2">
        <v>96210.89</v>
      </c>
      <c r="P66" s="2">
        <v>0</v>
      </c>
      <c r="R66" s="2" t="str">
        <f t="shared" ref="R66:R79" si="32">"人民币"</f>
        <v>人民币</v>
      </c>
      <c r="S66" s="2" t="str">
        <f>"1361001067"</f>
        <v>1361001067</v>
      </c>
    </row>
    <row r="67" spans="1:19">
      <c r="A67" s="2" t="str">
        <f t="shared" ref="A67:A70" si="33">"20150623"</f>
        <v>20150623</v>
      </c>
      <c r="B67" s="2" t="str">
        <f>"600219"</f>
        <v>600219</v>
      </c>
      <c r="C67" s="2" t="str">
        <f>"南山铝业"</f>
        <v>南山铝业</v>
      </c>
      <c r="D67" s="2" t="str">
        <f>"融资买入"</f>
        <v>融资买入</v>
      </c>
      <c r="E67" s="2">
        <v>11.51</v>
      </c>
      <c r="F67" s="2">
        <v>1000</v>
      </c>
      <c r="G67" s="2">
        <v>11510</v>
      </c>
      <c r="H67" s="2">
        <v>12.66</v>
      </c>
      <c r="I67" s="2">
        <v>11.63</v>
      </c>
      <c r="J67" s="2">
        <v>0</v>
      </c>
      <c r="K67" s="2">
        <v>0.6</v>
      </c>
      <c r="L67" s="2">
        <v>0</v>
      </c>
      <c r="M67" s="2">
        <v>0</v>
      </c>
      <c r="N67" s="2">
        <v>-11523.26</v>
      </c>
      <c r="O67" s="2">
        <v>84687.63</v>
      </c>
      <c r="P67" s="2">
        <v>1000</v>
      </c>
      <c r="Q67" s="2" t="str">
        <f t="shared" ref="Q67:Q72" si="34">"E021635187"</f>
        <v>E021635187</v>
      </c>
      <c r="R67" s="2" t="str">
        <f t="shared" si="32"/>
        <v>人民币</v>
      </c>
      <c r="S67" s="2" t="str">
        <f>"1361000070"</f>
        <v>1361000070</v>
      </c>
    </row>
    <row r="68" spans="1:19">
      <c r="A68" s="2" t="str">
        <f t="shared" si="33"/>
        <v>20150623</v>
      </c>
      <c r="B68" s="2" t="str">
        <f>"600066"</f>
        <v>600066</v>
      </c>
      <c r="C68" s="2" t="str">
        <f>"宇通客车"</f>
        <v>宇通客车</v>
      </c>
      <c r="D68" s="2" t="str">
        <f>"融资买入"</f>
        <v>融资买入</v>
      </c>
      <c r="E68" s="2">
        <v>20.41</v>
      </c>
      <c r="F68" s="2">
        <v>1000</v>
      </c>
      <c r="G68" s="2">
        <v>20410</v>
      </c>
      <c r="H68" s="2">
        <v>22.45</v>
      </c>
      <c r="I68" s="2">
        <v>20.63</v>
      </c>
      <c r="J68" s="2">
        <v>0</v>
      </c>
      <c r="K68" s="2">
        <v>0.6</v>
      </c>
      <c r="L68" s="2">
        <v>0</v>
      </c>
      <c r="M68" s="2">
        <v>0</v>
      </c>
      <c r="N68" s="2">
        <v>-20433.05</v>
      </c>
      <c r="O68" s="2">
        <v>64254.58</v>
      </c>
      <c r="P68" s="2">
        <v>7036</v>
      </c>
      <c r="Q68" s="2" t="str">
        <f t="shared" si="34"/>
        <v>E021635187</v>
      </c>
      <c r="R68" s="2" t="str">
        <f t="shared" si="32"/>
        <v>人民币</v>
      </c>
      <c r="S68" s="2" t="str">
        <f>"1361000642"</f>
        <v>1361000642</v>
      </c>
    </row>
    <row r="69" spans="1:19">
      <c r="A69" s="2" t="str">
        <f t="shared" si="33"/>
        <v>20150623</v>
      </c>
      <c r="D69" s="2" t="str">
        <f>"融资借入"</f>
        <v>融资借入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20433.05</v>
      </c>
      <c r="O69" s="2">
        <v>84687.63</v>
      </c>
      <c r="P69" s="2">
        <v>0</v>
      </c>
      <c r="R69" s="2" t="str">
        <f t="shared" si="32"/>
        <v>人民币</v>
      </c>
      <c r="S69" s="2" t="str">
        <f>"1361000642"</f>
        <v>1361000642</v>
      </c>
    </row>
    <row r="70" spans="1:19">
      <c r="A70" s="2" t="str">
        <f t="shared" si="33"/>
        <v>20150623</v>
      </c>
      <c r="D70" s="2" t="str">
        <f>"融资借入"</f>
        <v>融资借入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11523.26</v>
      </c>
      <c r="O70" s="2">
        <v>96210.89</v>
      </c>
      <c r="P70" s="2">
        <v>0</v>
      </c>
      <c r="R70" s="2" t="str">
        <f t="shared" si="32"/>
        <v>人民币</v>
      </c>
      <c r="S70" s="2" t="str">
        <f>"1361000070"</f>
        <v>1361000070</v>
      </c>
    </row>
    <row r="71" spans="1:19">
      <c r="A71" s="2" t="str">
        <f t="shared" ref="A71:A74" si="35">"20150625"</f>
        <v>20150625</v>
      </c>
      <c r="B71" s="2" t="str">
        <f>"600219"</f>
        <v>600219</v>
      </c>
      <c r="C71" s="2" t="str">
        <f>"南山铝业"</f>
        <v>南山铝业</v>
      </c>
      <c r="D71" s="2" t="str">
        <f>"担保品卖出"</f>
        <v>担保品卖出</v>
      </c>
      <c r="E71" s="2">
        <v>11.89</v>
      </c>
      <c r="F71" s="2">
        <v>1000</v>
      </c>
      <c r="G71" s="2">
        <v>11890</v>
      </c>
      <c r="H71" s="2">
        <v>5</v>
      </c>
      <c r="I71" s="2">
        <v>3.93</v>
      </c>
      <c r="J71" s="2">
        <v>11.89</v>
      </c>
      <c r="K71" s="2">
        <v>0.6</v>
      </c>
      <c r="L71" s="2">
        <v>0</v>
      </c>
      <c r="M71" s="2">
        <v>0</v>
      </c>
      <c r="N71" s="2">
        <v>11872.51</v>
      </c>
      <c r="O71" s="2">
        <v>108083.4</v>
      </c>
      <c r="P71" s="2">
        <v>0</v>
      </c>
      <c r="Q71" s="2" t="str">
        <f t="shared" si="34"/>
        <v>E021635187</v>
      </c>
      <c r="R71" s="2" t="str">
        <f t="shared" si="32"/>
        <v>人民币</v>
      </c>
      <c r="S71" s="2" t="str">
        <f>"1361000168"</f>
        <v>1361000168</v>
      </c>
    </row>
    <row r="72" spans="1:19">
      <c r="A72" s="2" t="str">
        <f t="shared" si="35"/>
        <v>20150625</v>
      </c>
      <c r="B72" s="2" t="str">
        <f t="shared" ref="B72:B78" si="36">"600066"</f>
        <v>600066</v>
      </c>
      <c r="C72" s="2" t="str">
        <f t="shared" ref="C72:C78" si="37">"宇通客车"</f>
        <v>宇通客车</v>
      </c>
      <c r="D72" s="2" t="str">
        <f t="shared" ref="D72:D79" si="38">"担保品买入"</f>
        <v>担保品买入</v>
      </c>
      <c r="E72" s="2">
        <v>20.5</v>
      </c>
      <c r="F72" s="2">
        <v>1000</v>
      </c>
      <c r="G72" s="2">
        <v>20500</v>
      </c>
      <c r="H72" s="2">
        <v>6.36</v>
      </c>
      <c r="I72" s="2">
        <v>4.52</v>
      </c>
      <c r="J72" s="2">
        <v>0</v>
      </c>
      <c r="K72" s="2">
        <v>0.6</v>
      </c>
      <c r="L72" s="2">
        <v>0</v>
      </c>
      <c r="M72" s="2">
        <v>0</v>
      </c>
      <c r="N72" s="2">
        <v>-20506.96</v>
      </c>
      <c r="O72" s="2">
        <v>87576.44</v>
      </c>
      <c r="P72" s="2">
        <v>8036</v>
      </c>
      <c r="Q72" s="2" t="str">
        <f t="shared" si="34"/>
        <v>E021635187</v>
      </c>
      <c r="R72" s="2" t="str">
        <f t="shared" si="32"/>
        <v>人民币</v>
      </c>
      <c r="S72" s="2" t="str">
        <f>"1361001499"</f>
        <v>1361001499</v>
      </c>
    </row>
    <row r="73" spans="1:18">
      <c r="A73" s="2" t="str">
        <f t="shared" si="35"/>
        <v>20150625</v>
      </c>
      <c r="D73" s="2" t="str">
        <f>"偿还融资负债本金"</f>
        <v>偿还融资负债本金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-11523.26</v>
      </c>
      <c r="O73" s="2">
        <v>76053.18</v>
      </c>
      <c r="P73" s="2">
        <v>0</v>
      </c>
      <c r="R73" s="2" t="str">
        <f t="shared" si="32"/>
        <v>人民币</v>
      </c>
    </row>
    <row r="74" spans="1:18">
      <c r="A74" s="2" t="str">
        <f t="shared" si="35"/>
        <v>20150625</v>
      </c>
      <c r="D74" s="2" t="str">
        <f>"偿还融资利息"</f>
        <v>偿还融资利息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-5.34</v>
      </c>
      <c r="O74" s="2">
        <v>76047.84</v>
      </c>
      <c r="P74" s="2">
        <v>0</v>
      </c>
      <c r="R74" s="2" t="str">
        <f t="shared" si="32"/>
        <v>人民币</v>
      </c>
    </row>
    <row r="75" spans="1:19">
      <c r="A75" s="2" t="str">
        <f t="shared" ref="A75:A77" si="39">"20150626"</f>
        <v>20150626</v>
      </c>
      <c r="B75" s="2" t="str">
        <f t="shared" si="36"/>
        <v>600066</v>
      </c>
      <c r="C75" s="2" t="str">
        <f t="shared" si="37"/>
        <v>宇通客车</v>
      </c>
      <c r="D75" s="2" t="str">
        <f t="shared" si="38"/>
        <v>担保品买入</v>
      </c>
      <c r="E75" s="2">
        <v>20.03</v>
      </c>
      <c r="F75" s="2">
        <v>1000</v>
      </c>
      <c r="G75" s="2">
        <v>20030</v>
      </c>
      <c r="H75" s="2">
        <v>6.21</v>
      </c>
      <c r="I75" s="2">
        <v>4.41</v>
      </c>
      <c r="J75" s="2">
        <v>0</v>
      </c>
      <c r="K75" s="2">
        <v>0.6</v>
      </c>
      <c r="L75" s="2">
        <v>0</v>
      </c>
      <c r="M75" s="2">
        <v>0</v>
      </c>
      <c r="N75" s="2">
        <v>-20036.81</v>
      </c>
      <c r="O75" s="2">
        <v>56011.03</v>
      </c>
      <c r="P75" s="2">
        <v>9036</v>
      </c>
      <c r="Q75" s="2" t="str">
        <f t="shared" ref="Q75:Q79" si="40">"E021635187"</f>
        <v>E021635187</v>
      </c>
      <c r="R75" s="2" t="str">
        <f t="shared" si="32"/>
        <v>人民币</v>
      </c>
      <c r="S75" s="2" t="str">
        <f>"1361000116"</f>
        <v>1361000116</v>
      </c>
    </row>
    <row r="76" spans="1:19">
      <c r="A76" s="2" t="str">
        <f t="shared" si="39"/>
        <v>20150626</v>
      </c>
      <c r="B76" s="2" t="str">
        <f>"600219"</f>
        <v>600219</v>
      </c>
      <c r="C76" s="2" t="str">
        <f>"南山铝业"</f>
        <v>南山铝业</v>
      </c>
      <c r="D76" s="2" t="str">
        <f t="shared" si="38"/>
        <v>担保品买入</v>
      </c>
      <c r="E76" s="2">
        <v>11.02</v>
      </c>
      <c r="F76" s="2">
        <v>1000</v>
      </c>
      <c r="G76" s="2">
        <v>11020</v>
      </c>
      <c r="H76" s="2">
        <v>5</v>
      </c>
      <c r="I76" s="2">
        <v>4.01</v>
      </c>
      <c r="J76" s="2">
        <v>0</v>
      </c>
      <c r="K76" s="2">
        <v>0.6</v>
      </c>
      <c r="L76" s="2">
        <v>0</v>
      </c>
      <c r="M76" s="2">
        <v>0</v>
      </c>
      <c r="N76" s="2">
        <v>-11025.6</v>
      </c>
      <c r="O76" s="2">
        <v>44985.43</v>
      </c>
      <c r="P76" s="2">
        <v>1000</v>
      </c>
      <c r="Q76" s="2" t="str">
        <f t="shared" si="40"/>
        <v>E021635187</v>
      </c>
      <c r="R76" s="2" t="str">
        <f t="shared" si="32"/>
        <v>人民币</v>
      </c>
      <c r="S76" s="2" t="str">
        <f>"1361000237"</f>
        <v>1361000237</v>
      </c>
    </row>
    <row r="77" spans="1:19">
      <c r="A77" s="2" t="str">
        <f t="shared" si="39"/>
        <v>20150626</v>
      </c>
      <c r="B77" s="2" t="str">
        <f t="shared" si="36"/>
        <v>600066</v>
      </c>
      <c r="C77" s="2" t="str">
        <f t="shared" si="37"/>
        <v>宇通客车</v>
      </c>
      <c r="D77" s="2" t="str">
        <f t="shared" si="38"/>
        <v>担保品买入</v>
      </c>
      <c r="E77" s="2">
        <v>19.15</v>
      </c>
      <c r="F77" s="2">
        <v>1000</v>
      </c>
      <c r="G77" s="2">
        <v>19150</v>
      </c>
      <c r="H77" s="2">
        <v>5.94</v>
      </c>
      <c r="I77" s="2">
        <v>4.23</v>
      </c>
      <c r="J77" s="2">
        <v>0</v>
      </c>
      <c r="K77" s="2">
        <v>0.6</v>
      </c>
      <c r="L77" s="2">
        <v>0</v>
      </c>
      <c r="M77" s="2">
        <v>0</v>
      </c>
      <c r="N77" s="2">
        <v>-19156.54</v>
      </c>
      <c r="O77" s="2">
        <v>25828.89</v>
      </c>
      <c r="P77" s="2">
        <v>10036</v>
      </c>
      <c r="Q77" s="2" t="str">
        <f t="shared" si="40"/>
        <v>E021635187</v>
      </c>
      <c r="R77" s="2" t="str">
        <f t="shared" si="32"/>
        <v>人民币</v>
      </c>
      <c r="S77" s="2" t="str">
        <f>"1361000743"</f>
        <v>1361000743</v>
      </c>
    </row>
    <row r="78" spans="1:19">
      <c r="A78" s="2" t="str">
        <f>"20150629"</f>
        <v>20150629</v>
      </c>
      <c r="B78" s="2" t="str">
        <f t="shared" si="36"/>
        <v>600066</v>
      </c>
      <c r="C78" s="2" t="str">
        <f t="shared" si="37"/>
        <v>宇通客车</v>
      </c>
      <c r="D78" s="2" t="str">
        <f t="shared" si="38"/>
        <v>担保品买入</v>
      </c>
      <c r="E78" s="2">
        <v>16.66</v>
      </c>
      <c r="F78" s="2">
        <v>1000</v>
      </c>
      <c r="G78" s="2">
        <v>16660</v>
      </c>
      <c r="H78" s="2">
        <v>5.16</v>
      </c>
      <c r="I78" s="2">
        <v>3.67</v>
      </c>
      <c r="J78" s="2">
        <v>0</v>
      </c>
      <c r="K78" s="2">
        <v>0.6</v>
      </c>
      <c r="L78" s="2">
        <v>0</v>
      </c>
      <c r="M78" s="2">
        <v>0</v>
      </c>
      <c r="N78" s="2">
        <v>-16665.76</v>
      </c>
      <c r="O78" s="2">
        <v>9163.13</v>
      </c>
      <c r="P78" s="2">
        <v>11036</v>
      </c>
      <c r="Q78" s="2" t="str">
        <f t="shared" si="40"/>
        <v>E021635187</v>
      </c>
      <c r="R78" s="2" t="str">
        <f t="shared" si="32"/>
        <v>人民币</v>
      </c>
      <c r="S78" s="2" t="str">
        <f>"1361001158"</f>
        <v>1361001158</v>
      </c>
    </row>
    <row r="79" spans="1:19">
      <c r="A79" s="2" t="str">
        <f>"20150630"</f>
        <v>20150630</v>
      </c>
      <c r="B79" s="2" t="str">
        <f>"600219"</f>
        <v>600219</v>
      </c>
      <c r="C79" s="2" t="str">
        <f>"南山铝业"</f>
        <v>南山铝业</v>
      </c>
      <c r="D79" s="2" t="str">
        <f t="shared" si="38"/>
        <v>担保品买入</v>
      </c>
      <c r="E79" s="2">
        <v>8.81</v>
      </c>
      <c r="F79" s="2">
        <v>1000</v>
      </c>
      <c r="G79" s="2">
        <v>8810</v>
      </c>
      <c r="H79" s="2">
        <v>5</v>
      </c>
      <c r="I79" s="2">
        <v>4.21</v>
      </c>
      <c r="J79" s="2">
        <v>0</v>
      </c>
      <c r="K79" s="2">
        <v>0.6</v>
      </c>
      <c r="L79" s="2">
        <v>0</v>
      </c>
      <c r="M79" s="2">
        <v>0</v>
      </c>
      <c r="N79" s="2">
        <v>-8815.6</v>
      </c>
      <c r="O79" s="2">
        <v>347.53</v>
      </c>
      <c r="P79" s="2">
        <v>2000</v>
      </c>
      <c r="Q79" s="2" t="str">
        <f t="shared" si="40"/>
        <v>E021635187</v>
      </c>
      <c r="R79" s="2" t="str">
        <f t="shared" si="32"/>
        <v>人民币</v>
      </c>
      <c r="S79" s="2" t="str">
        <f>"1361000480"</f>
        <v>1361000480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13"/>
  <sheetViews>
    <sheetView topLeftCell="A187" workbookViewId="0">
      <selection activeCell="A2" sqref="A2:P213"/>
    </sheetView>
  </sheetViews>
  <sheetFormatPr defaultColWidth="9" defaultRowHeight="13.5"/>
  <cols>
    <col min="1" max="16384" width="9" style="2"/>
  </cols>
  <sheetData>
    <row r="1" spans="1:19">
      <c r="A1" s="2" t="str">
        <f>"交割日期"</f>
        <v>交割日期</v>
      </c>
      <c r="B1" s="2" t="str">
        <f>"证券代码"</f>
        <v>证券代码</v>
      </c>
      <c r="C1" s="2" t="str">
        <f>"证券名称"</f>
        <v>证券名称</v>
      </c>
      <c r="D1" s="2" t="str">
        <f>"业务名称"</f>
        <v>业务名称</v>
      </c>
      <c r="E1" s="2" t="str">
        <f>"成交价格"</f>
        <v>成交价格</v>
      </c>
      <c r="F1" s="2" t="str">
        <f>"成交数量"</f>
        <v>成交数量</v>
      </c>
      <c r="G1" s="2" t="str">
        <f>"成交金额"</f>
        <v>成交金额</v>
      </c>
      <c r="H1" s="2" t="str">
        <f>"手续费"</f>
        <v>手续费</v>
      </c>
      <c r="I1" s="2" t="str">
        <f>"净佣金"</f>
        <v>净佣金</v>
      </c>
      <c r="J1" s="2" t="str">
        <f>"印花税"</f>
        <v>印花税</v>
      </c>
      <c r="K1" s="2" t="str">
        <f>"过户费"</f>
        <v>过户费</v>
      </c>
      <c r="L1" s="2" t="str">
        <f>"结算费"</f>
        <v>结算费</v>
      </c>
      <c r="M1" s="2" t="str">
        <f>"其他费"</f>
        <v>其他费</v>
      </c>
      <c r="N1" s="2" t="str">
        <f>"发生金额"</f>
        <v>发生金额</v>
      </c>
      <c r="O1" s="2" t="str">
        <f>"剩余金额"</f>
        <v>剩余金额</v>
      </c>
      <c r="P1" s="2" t="str">
        <f>"证券数量"</f>
        <v>证券数量</v>
      </c>
      <c r="Q1" s="2" t="str">
        <f>"股东代码"</f>
        <v>股东代码</v>
      </c>
      <c r="R1" s="2" t="str">
        <f>"币种"</f>
        <v>币种</v>
      </c>
      <c r="S1" s="2" t="str">
        <f>"成交编号"</f>
        <v>成交编号</v>
      </c>
    </row>
    <row r="2" spans="1:19">
      <c r="A2" s="2" t="str">
        <f t="shared" ref="A2:A15" si="0">"20150701"</f>
        <v>20150701</v>
      </c>
      <c r="B2" s="2" t="str">
        <f t="shared" ref="B2:B6" si="1">"600066"</f>
        <v>600066</v>
      </c>
      <c r="C2" s="2" t="str">
        <f t="shared" ref="C2:C6" si="2">"宇通客车"</f>
        <v>宇通客车</v>
      </c>
      <c r="D2" s="2" t="str">
        <f>"担保品卖出"</f>
        <v>担保品卖出</v>
      </c>
      <c r="E2" s="2">
        <v>20</v>
      </c>
      <c r="F2" s="2">
        <v>1000</v>
      </c>
      <c r="G2" s="2">
        <v>20000</v>
      </c>
      <c r="H2" s="2">
        <v>6.2</v>
      </c>
      <c r="I2" s="2">
        <v>4.41</v>
      </c>
      <c r="J2" s="2">
        <v>20</v>
      </c>
      <c r="K2" s="2">
        <v>0.6</v>
      </c>
      <c r="L2" s="2">
        <v>0</v>
      </c>
      <c r="M2" s="2">
        <v>0</v>
      </c>
      <c r="N2" s="2">
        <v>19973.2</v>
      </c>
      <c r="O2" s="2">
        <v>20320.73</v>
      </c>
      <c r="P2" s="2">
        <v>10036</v>
      </c>
      <c r="Q2" s="2" t="str">
        <f t="shared" ref="Q2:Q6" si="3">"E021635187"</f>
        <v>E021635187</v>
      </c>
      <c r="R2" s="2" t="str">
        <f t="shared" ref="R2:R65" si="4">"人民币"</f>
        <v>人民币</v>
      </c>
      <c r="S2" s="2" t="str">
        <f>"1361000087"</f>
        <v>1361000087</v>
      </c>
    </row>
    <row r="3" spans="1:19">
      <c r="A3" s="2" t="str">
        <f t="shared" si="0"/>
        <v>20150701</v>
      </c>
      <c r="B3" s="2" t="str">
        <f>"600219"</f>
        <v>600219</v>
      </c>
      <c r="C3" s="2" t="str">
        <f>"南山铝业"</f>
        <v>南山铝业</v>
      </c>
      <c r="D3" s="2" t="str">
        <f>"担保品卖出"</f>
        <v>担保品卖出</v>
      </c>
      <c r="E3" s="2">
        <v>9.85</v>
      </c>
      <c r="F3" s="2">
        <v>1000</v>
      </c>
      <c r="G3" s="2">
        <v>9850</v>
      </c>
      <c r="H3" s="2">
        <v>5</v>
      </c>
      <c r="I3" s="2">
        <v>4.11</v>
      </c>
      <c r="J3" s="2">
        <v>9.85</v>
      </c>
      <c r="K3" s="2">
        <v>0.6</v>
      </c>
      <c r="L3" s="2">
        <v>0</v>
      </c>
      <c r="M3" s="2">
        <v>0</v>
      </c>
      <c r="N3" s="2">
        <v>9834.55</v>
      </c>
      <c r="O3" s="2">
        <v>30155.28</v>
      </c>
      <c r="P3" s="2">
        <v>1000</v>
      </c>
      <c r="Q3" s="2" t="str">
        <f t="shared" si="3"/>
        <v>E021635187</v>
      </c>
      <c r="R3" s="2" t="str">
        <f t="shared" si="4"/>
        <v>人民币</v>
      </c>
      <c r="S3" s="2" t="str">
        <f>"1361000096"</f>
        <v>1361000096</v>
      </c>
    </row>
    <row r="4" spans="1:19">
      <c r="A4" s="2" t="str">
        <f t="shared" si="0"/>
        <v>20150701</v>
      </c>
      <c r="B4" s="2" t="str">
        <f>"600219"</f>
        <v>600219</v>
      </c>
      <c r="C4" s="2" t="str">
        <f>"南山铝业"</f>
        <v>南山铝业</v>
      </c>
      <c r="D4" s="2" t="str">
        <f>"担保品买入"</f>
        <v>担保品买入</v>
      </c>
      <c r="E4" s="2">
        <v>10.08</v>
      </c>
      <c r="F4" s="2">
        <v>1000</v>
      </c>
      <c r="G4" s="2">
        <v>10080</v>
      </c>
      <c r="H4" s="2">
        <v>5</v>
      </c>
      <c r="I4" s="2">
        <v>4.1</v>
      </c>
      <c r="J4" s="2">
        <v>0</v>
      </c>
      <c r="K4" s="2">
        <v>0.6</v>
      </c>
      <c r="L4" s="2">
        <v>0</v>
      </c>
      <c r="M4" s="2">
        <v>0</v>
      </c>
      <c r="N4" s="2">
        <v>-10085.6</v>
      </c>
      <c r="O4" s="2">
        <v>20069.68</v>
      </c>
      <c r="P4" s="2">
        <v>2000</v>
      </c>
      <c r="Q4" s="2" t="str">
        <f t="shared" si="3"/>
        <v>E021635187</v>
      </c>
      <c r="R4" s="2" t="str">
        <f t="shared" si="4"/>
        <v>人民币</v>
      </c>
      <c r="S4" s="2" t="str">
        <f>"1361000222"</f>
        <v>1361000222</v>
      </c>
    </row>
    <row r="5" spans="1:19">
      <c r="A5" s="2" t="str">
        <f t="shared" si="0"/>
        <v>20150701</v>
      </c>
      <c r="B5" s="2" t="str">
        <f t="shared" si="1"/>
        <v>600066</v>
      </c>
      <c r="C5" s="2" t="str">
        <f t="shared" si="2"/>
        <v>宇通客车</v>
      </c>
      <c r="D5" s="2" t="str">
        <f>"担保品卖出"</f>
        <v>担保品卖出</v>
      </c>
      <c r="E5" s="2">
        <v>20.8</v>
      </c>
      <c r="F5" s="2">
        <v>1000</v>
      </c>
      <c r="G5" s="2">
        <v>20800</v>
      </c>
      <c r="H5" s="2">
        <v>6.45</v>
      </c>
      <c r="I5" s="2">
        <v>4.58</v>
      </c>
      <c r="J5" s="2">
        <v>20.8</v>
      </c>
      <c r="K5" s="2">
        <v>0.6</v>
      </c>
      <c r="L5" s="2">
        <v>0</v>
      </c>
      <c r="M5" s="2">
        <v>0</v>
      </c>
      <c r="N5" s="2">
        <v>20772.15</v>
      </c>
      <c r="O5" s="2">
        <v>40841.83</v>
      </c>
      <c r="P5" s="2">
        <v>9036</v>
      </c>
      <c r="Q5" s="2" t="str">
        <f t="shared" si="3"/>
        <v>E021635187</v>
      </c>
      <c r="R5" s="2" t="str">
        <f t="shared" si="4"/>
        <v>人民币</v>
      </c>
      <c r="S5" s="2" t="str">
        <f>"1361000302"</f>
        <v>1361000302</v>
      </c>
    </row>
    <row r="6" spans="1:19">
      <c r="A6" s="2" t="str">
        <f t="shared" si="0"/>
        <v>20150701</v>
      </c>
      <c r="B6" s="2" t="str">
        <f t="shared" si="1"/>
        <v>600066</v>
      </c>
      <c r="C6" s="2" t="str">
        <f t="shared" si="2"/>
        <v>宇通客车</v>
      </c>
      <c r="D6" s="2" t="str">
        <f>"融资买入"</f>
        <v>融资买入</v>
      </c>
      <c r="E6" s="2">
        <v>19.8</v>
      </c>
      <c r="F6" s="2">
        <v>500</v>
      </c>
      <c r="G6" s="2">
        <v>9900</v>
      </c>
      <c r="H6" s="2">
        <v>10.89</v>
      </c>
      <c r="I6" s="2">
        <v>10</v>
      </c>
      <c r="J6" s="2">
        <v>0</v>
      </c>
      <c r="K6" s="2">
        <v>0.3</v>
      </c>
      <c r="L6" s="2">
        <v>0</v>
      </c>
      <c r="M6" s="2">
        <v>0</v>
      </c>
      <c r="N6" s="2">
        <v>-9911.19</v>
      </c>
      <c r="O6" s="2">
        <v>30930.64</v>
      </c>
      <c r="P6" s="2">
        <v>9536</v>
      </c>
      <c r="Q6" s="2" t="str">
        <f t="shared" si="3"/>
        <v>E021635187</v>
      </c>
      <c r="R6" s="2" t="str">
        <f t="shared" si="4"/>
        <v>人民币</v>
      </c>
      <c r="S6" s="2" t="str">
        <f>"1361001477"</f>
        <v>1361001477</v>
      </c>
    </row>
    <row r="7" spans="1:19">
      <c r="A7" s="2" t="str">
        <f t="shared" si="0"/>
        <v>20150701</v>
      </c>
      <c r="D7" s="2" t="str">
        <f>"融资借入"</f>
        <v>融资借入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9911.19</v>
      </c>
      <c r="O7" s="2">
        <v>40841.83</v>
      </c>
      <c r="P7" s="2">
        <v>0</v>
      </c>
      <c r="R7" s="2" t="str">
        <f t="shared" si="4"/>
        <v>人民币</v>
      </c>
      <c r="S7" s="2" t="str">
        <f>"1361001477"</f>
        <v>1361001477</v>
      </c>
    </row>
    <row r="8" spans="1:18">
      <c r="A8" s="2" t="str">
        <f t="shared" si="0"/>
        <v>20150701</v>
      </c>
      <c r="D8" s="2" t="str">
        <f t="shared" ref="D8:D13" si="5">"偿还融资负债本金"</f>
        <v>偿还融资负债本金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-200.22</v>
      </c>
      <c r="O8" s="2">
        <v>40641.61</v>
      </c>
      <c r="P8" s="2">
        <v>0</v>
      </c>
      <c r="R8" s="2" t="str">
        <f t="shared" si="4"/>
        <v>人民币</v>
      </c>
    </row>
    <row r="9" spans="1:18">
      <c r="A9" s="2" t="str">
        <f t="shared" si="0"/>
        <v>20150701</v>
      </c>
      <c r="D9" s="2" t="str">
        <f t="shared" si="5"/>
        <v>偿还融资负债本金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-1791.72</v>
      </c>
      <c r="O9" s="2">
        <v>38849.89</v>
      </c>
      <c r="P9" s="2">
        <v>0</v>
      </c>
      <c r="R9" s="2" t="str">
        <f t="shared" si="4"/>
        <v>人民币</v>
      </c>
    </row>
    <row r="10" spans="1:18">
      <c r="A10" s="2" t="str">
        <f t="shared" si="0"/>
        <v>20150701</v>
      </c>
      <c r="D10" s="2" t="str">
        <f t="shared" si="5"/>
        <v>偿还融资负债本金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-13943.58</v>
      </c>
      <c r="O10" s="2">
        <v>24906.31</v>
      </c>
      <c r="P10" s="2">
        <v>0</v>
      </c>
      <c r="R10" s="2" t="str">
        <f t="shared" si="4"/>
        <v>人民币</v>
      </c>
    </row>
    <row r="11" spans="1:18">
      <c r="A11" s="2" t="str">
        <f t="shared" si="0"/>
        <v>20150701</v>
      </c>
      <c r="D11" s="2" t="str">
        <f t="shared" si="5"/>
        <v>偿还融资负债本金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-8635.98</v>
      </c>
      <c r="O11" s="2">
        <v>16270.33</v>
      </c>
      <c r="P11" s="2">
        <v>0</v>
      </c>
      <c r="R11" s="2" t="str">
        <f t="shared" si="4"/>
        <v>人民币</v>
      </c>
    </row>
    <row r="12" spans="1:18">
      <c r="A12" s="2" t="str">
        <f t="shared" si="0"/>
        <v>20150701</v>
      </c>
      <c r="D12" s="2" t="str">
        <f t="shared" si="5"/>
        <v>偿还融资负债本金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-3983.88</v>
      </c>
      <c r="O12" s="2">
        <v>12286.45</v>
      </c>
      <c r="P12" s="2">
        <v>0</v>
      </c>
      <c r="R12" s="2" t="str">
        <f t="shared" si="4"/>
        <v>人民币</v>
      </c>
    </row>
    <row r="13" spans="1:18">
      <c r="A13" s="2" t="str">
        <f t="shared" si="0"/>
        <v>20150701</v>
      </c>
      <c r="D13" s="2" t="str">
        <f t="shared" si="5"/>
        <v>偿还融资负债本金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-12080.22</v>
      </c>
      <c r="O13" s="2">
        <v>206.23</v>
      </c>
      <c r="P13" s="2">
        <v>0</v>
      </c>
      <c r="R13" s="2" t="str">
        <f t="shared" si="4"/>
        <v>人民币</v>
      </c>
    </row>
    <row r="14" spans="1:18">
      <c r="A14" s="2" t="str">
        <f t="shared" si="0"/>
        <v>20150701</v>
      </c>
      <c r="D14" s="2" t="str">
        <f>"偿还融资利息"</f>
        <v>偿还融资利息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-0.58</v>
      </c>
      <c r="O14" s="2">
        <v>205.65</v>
      </c>
      <c r="P14" s="2">
        <v>0</v>
      </c>
      <c r="R14" s="2" t="str">
        <f t="shared" si="4"/>
        <v>人民币</v>
      </c>
    </row>
    <row r="15" spans="1:18">
      <c r="A15" s="2" t="str">
        <f t="shared" si="0"/>
        <v>20150701</v>
      </c>
      <c r="D15" s="2" t="str">
        <f>"偿还融资利息"</f>
        <v>偿还融资利息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-78.94</v>
      </c>
      <c r="O15" s="2">
        <v>126.71</v>
      </c>
      <c r="P15" s="2">
        <v>0</v>
      </c>
      <c r="R15" s="2" t="str">
        <f t="shared" si="4"/>
        <v>人民币</v>
      </c>
    </row>
    <row r="16" spans="1:18">
      <c r="A16" s="2" t="str">
        <f>"20150702"</f>
        <v>20150702</v>
      </c>
      <c r="B16" s="2" t="str">
        <f>"600066"</f>
        <v>600066</v>
      </c>
      <c r="C16" s="2" t="str">
        <f>"宇通客车"</f>
        <v>宇通客车</v>
      </c>
      <c r="D16" s="2" t="str">
        <f>"股息红利差异扣税"</f>
        <v>股息红利差异扣税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-37.5</v>
      </c>
      <c r="O16" s="2">
        <v>89.21</v>
      </c>
      <c r="P16" s="2">
        <v>0</v>
      </c>
      <c r="Q16" s="2" t="str">
        <f t="shared" ref="Q16:Q19" si="6">"E021635187"</f>
        <v>E021635187</v>
      </c>
      <c r="R16" s="2" t="str">
        <f t="shared" si="4"/>
        <v>人民币</v>
      </c>
    </row>
    <row r="17" spans="1:19">
      <c r="A17" s="2" t="str">
        <f t="shared" ref="A17:A22" si="7">"20150703"</f>
        <v>20150703</v>
      </c>
      <c r="B17" s="2" t="str">
        <f>"600219"</f>
        <v>600219</v>
      </c>
      <c r="C17" s="2" t="str">
        <f>"南山铝业"</f>
        <v>南山铝业</v>
      </c>
      <c r="D17" s="2" t="str">
        <f>"融资买入"</f>
        <v>融资买入</v>
      </c>
      <c r="E17" s="2">
        <v>7.97</v>
      </c>
      <c r="F17" s="2">
        <v>1000</v>
      </c>
      <c r="G17" s="2">
        <v>7970</v>
      </c>
      <c r="H17" s="2">
        <v>8.77</v>
      </c>
      <c r="I17" s="2">
        <v>8.06</v>
      </c>
      <c r="J17" s="2">
        <v>0</v>
      </c>
      <c r="K17" s="2">
        <v>0.6</v>
      </c>
      <c r="L17" s="2">
        <v>0</v>
      </c>
      <c r="M17" s="2">
        <v>0</v>
      </c>
      <c r="N17" s="2">
        <v>-7979.37</v>
      </c>
      <c r="O17" s="2">
        <v>-7890.16</v>
      </c>
      <c r="P17" s="2">
        <v>3000</v>
      </c>
      <c r="Q17" s="2" t="str">
        <f t="shared" si="6"/>
        <v>E021635187</v>
      </c>
      <c r="R17" s="2" t="str">
        <f t="shared" si="4"/>
        <v>人民币</v>
      </c>
      <c r="S17" s="2" t="str">
        <f>"1361000558"</f>
        <v>1361000558</v>
      </c>
    </row>
    <row r="18" spans="1:19">
      <c r="A18" s="2" t="str">
        <f t="shared" si="7"/>
        <v>20150703</v>
      </c>
      <c r="B18" s="2" t="str">
        <f>"600219"</f>
        <v>600219</v>
      </c>
      <c r="C18" s="2" t="str">
        <f>"南山铝业"</f>
        <v>南山铝业</v>
      </c>
      <c r="D18" s="2" t="str">
        <f>"担保品卖出"</f>
        <v>担保品卖出</v>
      </c>
      <c r="E18" s="2">
        <v>8.51</v>
      </c>
      <c r="F18" s="2">
        <v>1000</v>
      </c>
      <c r="G18" s="2">
        <v>8510</v>
      </c>
      <c r="H18" s="2">
        <v>5</v>
      </c>
      <c r="I18" s="2">
        <v>4.24</v>
      </c>
      <c r="J18" s="2">
        <v>8.51</v>
      </c>
      <c r="K18" s="2">
        <v>0.6</v>
      </c>
      <c r="L18" s="2">
        <v>0</v>
      </c>
      <c r="M18" s="2">
        <v>0</v>
      </c>
      <c r="N18" s="2">
        <v>8495.89</v>
      </c>
      <c r="O18" s="2">
        <v>605.73</v>
      </c>
      <c r="P18" s="2">
        <v>2000</v>
      </c>
      <c r="Q18" s="2" t="str">
        <f t="shared" si="6"/>
        <v>E021635187</v>
      </c>
      <c r="R18" s="2" t="str">
        <f t="shared" si="4"/>
        <v>人民币</v>
      </c>
      <c r="S18" s="2" t="str">
        <f>"1361000832"</f>
        <v>1361000832</v>
      </c>
    </row>
    <row r="19" spans="1:19">
      <c r="A19" s="2" t="str">
        <f t="shared" si="7"/>
        <v>20150703</v>
      </c>
      <c r="B19" s="2" t="str">
        <f t="shared" ref="B19:B24" si="8">"600066"</f>
        <v>600066</v>
      </c>
      <c r="C19" s="2" t="str">
        <f t="shared" ref="C19:C24" si="9">"宇通客车"</f>
        <v>宇通客车</v>
      </c>
      <c r="D19" s="2" t="str">
        <f>"担保品卖出"</f>
        <v>担保品卖出</v>
      </c>
      <c r="E19" s="2">
        <v>20.16</v>
      </c>
      <c r="F19" s="2">
        <v>500</v>
      </c>
      <c r="G19" s="2">
        <v>10080</v>
      </c>
      <c r="H19" s="2">
        <v>5</v>
      </c>
      <c r="I19" s="2">
        <v>4.1</v>
      </c>
      <c r="J19" s="2">
        <v>10.08</v>
      </c>
      <c r="K19" s="2">
        <v>0.3</v>
      </c>
      <c r="L19" s="2">
        <v>0</v>
      </c>
      <c r="M19" s="2">
        <v>0</v>
      </c>
      <c r="N19" s="2">
        <v>10064.62</v>
      </c>
      <c r="O19" s="2">
        <v>10670.35</v>
      </c>
      <c r="P19" s="2">
        <v>9036</v>
      </c>
      <c r="Q19" s="2" t="str">
        <f t="shared" si="6"/>
        <v>E021635187</v>
      </c>
      <c r="R19" s="2" t="str">
        <f t="shared" si="4"/>
        <v>人民币</v>
      </c>
      <c r="S19" s="2" t="str">
        <f>"1361000889"</f>
        <v>1361000889</v>
      </c>
    </row>
    <row r="20" spans="1:19">
      <c r="A20" s="2" t="str">
        <f t="shared" si="7"/>
        <v>20150703</v>
      </c>
      <c r="D20" s="2" t="str">
        <f>"融资借入"</f>
        <v>融资借入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7979.37</v>
      </c>
      <c r="O20" s="2">
        <v>18649.72</v>
      </c>
      <c r="P20" s="2">
        <v>0</v>
      </c>
      <c r="R20" s="2" t="str">
        <f t="shared" si="4"/>
        <v>人民币</v>
      </c>
      <c r="S20" s="2" t="str">
        <f>"1361000558"</f>
        <v>1361000558</v>
      </c>
    </row>
    <row r="21" spans="1:18">
      <c r="A21" s="2" t="str">
        <f t="shared" si="7"/>
        <v>20150703</v>
      </c>
      <c r="D21" s="2" t="str">
        <f t="shared" ref="D21:D27" si="10">"偿还融资负债本金"</f>
        <v>偿还融资负债本金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-10039.38</v>
      </c>
      <c r="O21" s="2">
        <v>8610.34</v>
      </c>
      <c r="P21" s="2">
        <v>0</v>
      </c>
      <c r="R21" s="2" t="str">
        <f t="shared" si="4"/>
        <v>人民币</v>
      </c>
    </row>
    <row r="22" spans="1:18">
      <c r="A22" s="2" t="str">
        <f t="shared" si="7"/>
        <v>20150703</v>
      </c>
      <c r="D22" s="2" t="str">
        <f t="shared" si="10"/>
        <v>偿还融资负债本金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-7979.37</v>
      </c>
      <c r="O22" s="2">
        <v>630.97</v>
      </c>
      <c r="P22" s="2">
        <v>0</v>
      </c>
      <c r="R22" s="2" t="str">
        <f t="shared" si="4"/>
        <v>人民币</v>
      </c>
    </row>
    <row r="23" spans="1:19">
      <c r="A23" s="2" t="str">
        <f t="shared" ref="A23:A28" si="11">"20150706"</f>
        <v>20150706</v>
      </c>
      <c r="B23" s="2" t="str">
        <f t="shared" si="8"/>
        <v>600066</v>
      </c>
      <c r="C23" s="2" t="str">
        <f t="shared" si="9"/>
        <v>宇通客车</v>
      </c>
      <c r="D23" s="2" t="str">
        <f>"融资买入"</f>
        <v>融资买入</v>
      </c>
      <c r="E23" s="2">
        <v>19.56</v>
      </c>
      <c r="F23" s="2">
        <v>500</v>
      </c>
      <c r="G23" s="2">
        <v>9780</v>
      </c>
      <c r="H23" s="2">
        <v>10.76</v>
      </c>
      <c r="I23" s="2">
        <v>9.88</v>
      </c>
      <c r="J23" s="2">
        <v>0</v>
      </c>
      <c r="K23" s="2">
        <v>0.3</v>
      </c>
      <c r="L23" s="2">
        <v>0</v>
      </c>
      <c r="M23" s="2">
        <v>0</v>
      </c>
      <c r="N23" s="2">
        <v>-9791.06</v>
      </c>
      <c r="O23" s="2">
        <v>-9160.09</v>
      </c>
      <c r="P23" s="2">
        <v>9536</v>
      </c>
      <c r="Q23" s="2" t="str">
        <f>"E021635187"</f>
        <v>E021635187</v>
      </c>
      <c r="R23" s="2" t="str">
        <f t="shared" si="4"/>
        <v>人民币</v>
      </c>
      <c r="S23" s="2" t="str">
        <f>"1361000761"</f>
        <v>1361000761</v>
      </c>
    </row>
    <row r="24" spans="1:19">
      <c r="A24" s="2" t="str">
        <f t="shared" si="11"/>
        <v>20150706</v>
      </c>
      <c r="B24" s="2" t="str">
        <f t="shared" si="8"/>
        <v>600066</v>
      </c>
      <c r="C24" s="2" t="str">
        <f t="shared" si="9"/>
        <v>宇通客车</v>
      </c>
      <c r="D24" s="2" t="str">
        <f>"担保品卖出"</f>
        <v>担保品卖出</v>
      </c>
      <c r="E24" s="2">
        <v>19.95</v>
      </c>
      <c r="F24" s="2">
        <v>500</v>
      </c>
      <c r="G24" s="2">
        <v>9975</v>
      </c>
      <c r="H24" s="2">
        <v>5</v>
      </c>
      <c r="I24" s="2">
        <v>4.11</v>
      </c>
      <c r="J24" s="2">
        <v>9.98</v>
      </c>
      <c r="K24" s="2">
        <v>0.3</v>
      </c>
      <c r="L24" s="2">
        <v>0</v>
      </c>
      <c r="M24" s="2">
        <v>0</v>
      </c>
      <c r="N24" s="2">
        <v>9959.72</v>
      </c>
      <c r="O24" s="2">
        <v>799.63</v>
      </c>
      <c r="P24" s="2">
        <v>9036</v>
      </c>
      <c r="Q24" s="2" t="str">
        <f>"E021635187"</f>
        <v>E021635187</v>
      </c>
      <c r="R24" s="2" t="str">
        <f t="shared" si="4"/>
        <v>人民币</v>
      </c>
      <c r="S24" s="2" t="str">
        <f>"1361001097"</f>
        <v>1361001097</v>
      </c>
    </row>
    <row r="25" spans="1:19">
      <c r="A25" s="2" t="str">
        <f t="shared" si="11"/>
        <v>20150706</v>
      </c>
      <c r="D25" s="2" t="str">
        <f>"融资借入"</f>
        <v>融资借入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9791.06</v>
      </c>
      <c r="O25" s="2">
        <v>10590.69</v>
      </c>
      <c r="P25" s="2">
        <v>0</v>
      </c>
      <c r="R25" s="2" t="str">
        <f t="shared" si="4"/>
        <v>人民币</v>
      </c>
      <c r="S25" s="2" t="str">
        <f>"1361000761"</f>
        <v>1361000761</v>
      </c>
    </row>
    <row r="26" spans="1:18">
      <c r="A26" s="2" t="str">
        <f t="shared" si="11"/>
        <v>20150706</v>
      </c>
      <c r="D26" s="2" t="str">
        <f t="shared" si="10"/>
        <v>偿还融资负债本金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-2916.63</v>
      </c>
      <c r="O26" s="2">
        <v>7674.06</v>
      </c>
      <c r="P26" s="2">
        <v>0</v>
      </c>
      <c r="R26" s="2" t="str">
        <f t="shared" si="4"/>
        <v>人民币</v>
      </c>
    </row>
    <row r="27" spans="1:18">
      <c r="A27" s="2" t="str">
        <f t="shared" si="11"/>
        <v>20150706</v>
      </c>
      <c r="D27" s="2" t="str">
        <f t="shared" si="10"/>
        <v>偿还融资负债本金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-7018.16</v>
      </c>
      <c r="O27" s="2">
        <v>655.9</v>
      </c>
      <c r="P27" s="2">
        <v>0</v>
      </c>
      <c r="R27" s="2" t="str">
        <f t="shared" si="4"/>
        <v>人民币</v>
      </c>
    </row>
    <row r="28" spans="1:18">
      <c r="A28" s="2" t="str">
        <f t="shared" si="11"/>
        <v>20150706</v>
      </c>
      <c r="D28" s="2" t="str">
        <f>"偿还融资利息"</f>
        <v>偿还融资利息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-77.75</v>
      </c>
      <c r="O28" s="2">
        <v>578.15</v>
      </c>
      <c r="P28" s="2">
        <v>0</v>
      </c>
      <c r="R28" s="2" t="str">
        <f t="shared" si="4"/>
        <v>人民币</v>
      </c>
    </row>
    <row r="29" spans="1:19">
      <c r="A29" s="2" t="str">
        <f t="shared" ref="A29:A47" si="12">"20150707"</f>
        <v>20150707</v>
      </c>
      <c r="B29" s="2" t="str">
        <f t="shared" ref="B29:B31" si="13">"600066"</f>
        <v>600066</v>
      </c>
      <c r="C29" s="2" t="str">
        <f t="shared" ref="C29:C31" si="14">"宇通客车"</f>
        <v>宇通客车</v>
      </c>
      <c r="D29" s="2" t="str">
        <f t="shared" ref="D29:D32" si="15">"融资买入"</f>
        <v>融资买入</v>
      </c>
      <c r="E29" s="2">
        <v>19.46</v>
      </c>
      <c r="F29" s="2">
        <v>500</v>
      </c>
      <c r="G29" s="2">
        <v>9730</v>
      </c>
      <c r="H29" s="2">
        <v>10.7</v>
      </c>
      <c r="I29" s="2">
        <v>9.83</v>
      </c>
      <c r="J29" s="2">
        <v>0</v>
      </c>
      <c r="K29" s="2">
        <v>0.3</v>
      </c>
      <c r="L29" s="2">
        <v>0</v>
      </c>
      <c r="M29" s="2">
        <v>0</v>
      </c>
      <c r="N29" s="2">
        <v>-9741</v>
      </c>
      <c r="O29" s="2">
        <v>-9162.85</v>
      </c>
      <c r="P29" s="2">
        <v>9536</v>
      </c>
      <c r="Q29" s="2" t="str">
        <f t="shared" ref="Q29:Q32" si="16">"E021635187"</f>
        <v>E021635187</v>
      </c>
      <c r="R29" s="2" t="str">
        <f t="shared" si="4"/>
        <v>人民币</v>
      </c>
      <c r="S29" s="2" t="str">
        <f>"1361000608"</f>
        <v>1361000608</v>
      </c>
    </row>
    <row r="30" spans="1:19">
      <c r="A30" s="2" t="str">
        <f t="shared" si="12"/>
        <v>20150707</v>
      </c>
      <c r="B30" s="2" t="str">
        <f t="shared" si="13"/>
        <v>600066</v>
      </c>
      <c r="C30" s="2" t="str">
        <f t="shared" si="14"/>
        <v>宇通客车</v>
      </c>
      <c r="D30" s="2" t="str">
        <f>"担保品卖出"</f>
        <v>担保品卖出</v>
      </c>
      <c r="E30" s="2">
        <v>19.17</v>
      </c>
      <c r="F30" s="2">
        <v>5000</v>
      </c>
      <c r="G30" s="2">
        <v>95850</v>
      </c>
      <c r="H30" s="2">
        <v>29.71</v>
      </c>
      <c r="I30" s="2">
        <v>21.12</v>
      </c>
      <c r="J30" s="2">
        <v>95.85</v>
      </c>
      <c r="K30" s="2">
        <v>3</v>
      </c>
      <c r="L30" s="2">
        <v>0</v>
      </c>
      <c r="M30" s="2">
        <v>0</v>
      </c>
      <c r="N30" s="2">
        <v>95721.44</v>
      </c>
      <c r="O30" s="2">
        <v>86558.59</v>
      </c>
      <c r="P30" s="2">
        <v>4536</v>
      </c>
      <c r="Q30" s="2" t="str">
        <f t="shared" si="16"/>
        <v>E021635187</v>
      </c>
      <c r="R30" s="2" t="str">
        <f t="shared" si="4"/>
        <v>人民币</v>
      </c>
      <c r="S30" s="2" t="str">
        <f>"1361000642"</f>
        <v>1361000642</v>
      </c>
    </row>
    <row r="31" spans="1:19">
      <c r="A31" s="2" t="str">
        <f t="shared" si="12"/>
        <v>20150707</v>
      </c>
      <c r="B31" s="2" t="str">
        <f t="shared" si="13"/>
        <v>600066</v>
      </c>
      <c r="C31" s="2" t="str">
        <f t="shared" si="14"/>
        <v>宇通客车</v>
      </c>
      <c r="D31" s="2" t="str">
        <f t="shared" si="15"/>
        <v>融资买入</v>
      </c>
      <c r="E31" s="2">
        <v>19.9</v>
      </c>
      <c r="F31" s="2">
        <v>5000</v>
      </c>
      <c r="G31" s="2">
        <v>99500</v>
      </c>
      <c r="H31" s="2">
        <v>109.45</v>
      </c>
      <c r="I31" s="2">
        <v>100.53</v>
      </c>
      <c r="J31" s="2">
        <v>0</v>
      </c>
      <c r="K31" s="2">
        <v>3</v>
      </c>
      <c r="L31" s="2">
        <v>0</v>
      </c>
      <c r="M31" s="2">
        <v>0</v>
      </c>
      <c r="N31" s="2">
        <v>-99612.45</v>
      </c>
      <c r="O31" s="2">
        <v>-13053.86</v>
      </c>
      <c r="P31" s="2">
        <v>9536</v>
      </c>
      <c r="Q31" s="2" t="str">
        <f t="shared" si="16"/>
        <v>E021635187</v>
      </c>
      <c r="R31" s="2" t="str">
        <f t="shared" si="4"/>
        <v>人民币</v>
      </c>
      <c r="S31" s="2" t="str">
        <f>"1361000717"</f>
        <v>1361000717</v>
      </c>
    </row>
    <row r="32" spans="1:19">
      <c r="A32" s="2" t="str">
        <f t="shared" si="12"/>
        <v>20150707</v>
      </c>
      <c r="B32" s="2" t="str">
        <f>"600219"</f>
        <v>600219</v>
      </c>
      <c r="C32" s="2" t="str">
        <f>"南山铝业"</f>
        <v>南山铝业</v>
      </c>
      <c r="D32" s="2" t="str">
        <f t="shared" si="15"/>
        <v>融资买入</v>
      </c>
      <c r="E32" s="2">
        <v>7.45</v>
      </c>
      <c r="F32" s="2">
        <v>2000</v>
      </c>
      <c r="G32" s="2">
        <v>14900</v>
      </c>
      <c r="H32" s="2">
        <v>16.39</v>
      </c>
      <c r="I32" s="2">
        <v>15.05</v>
      </c>
      <c r="J32" s="2">
        <v>0</v>
      </c>
      <c r="K32" s="2">
        <v>1.2</v>
      </c>
      <c r="L32" s="2">
        <v>0</v>
      </c>
      <c r="M32" s="2">
        <v>0</v>
      </c>
      <c r="N32" s="2">
        <v>-14917.59</v>
      </c>
      <c r="O32" s="2">
        <v>-27971.45</v>
      </c>
      <c r="P32" s="2">
        <v>4000</v>
      </c>
      <c r="Q32" s="2" t="str">
        <f t="shared" si="16"/>
        <v>E021635187</v>
      </c>
      <c r="R32" s="2" t="str">
        <f t="shared" si="4"/>
        <v>人民币</v>
      </c>
      <c r="S32" s="2" t="str">
        <f>"1361000852"</f>
        <v>1361000852</v>
      </c>
    </row>
    <row r="33" spans="1:19">
      <c r="A33" s="2" t="str">
        <f t="shared" si="12"/>
        <v>20150707</v>
      </c>
      <c r="B33" s="2" t="str">
        <f>"150181"</f>
        <v>150181</v>
      </c>
      <c r="C33" s="2" t="str">
        <f>"军工A"</f>
        <v>军工A</v>
      </c>
      <c r="D33" s="2" t="str">
        <f>"担保品卖出"</f>
        <v>担保品卖出</v>
      </c>
      <c r="E33" s="2">
        <v>0.818</v>
      </c>
      <c r="F33" s="2">
        <v>34600</v>
      </c>
      <c r="G33" s="2">
        <v>28302.8</v>
      </c>
      <c r="H33" s="2">
        <v>8.77</v>
      </c>
      <c r="I33" s="2">
        <v>6.01</v>
      </c>
      <c r="J33" s="2">
        <v>0</v>
      </c>
      <c r="K33" s="2">
        <v>0</v>
      </c>
      <c r="L33" s="2">
        <v>0</v>
      </c>
      <c r="M33" s="2">
        <v>0</v>
      </c>
      <c r="N33" s="2">
        <v>28294.03</v>
      </c>
      <c r="O33" s="2">
        <v>322.58</v>
      </c>
      <c r="P33" s="2">
        <v>71634</v>
      </c>
      <c r="Q33" s="2" t="str">
        <f>"0602175409"</f>
        <v>0602175409</v>
      </c>
      <c r="R33" s="2" t="str">
        <f t="shared" si="4"/>
        <v>人民币</v>
      </c>
      <c r="S33" s="2" t="str">
        <f>"T4000585"</f>
        <v>T4000585</v>
      </c>
    </row>
    <row r="34" spans="1:19">
      <c r="A34" s="2" t="str">
        <f t="shared" si="12"/>
        <v>20150707</v>
      </c>
      <c r="D34" s="2" t="str">
        <f t="shared" ref="D34:D36" si="17">"融资借入"</f>
        <v>融资借入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9741</v>
      </c>
      <c r="O34" s="2">
        <v>10063.58</v>
      </c>
      <c r="P34" s="2">
        <v>0</v>
      </c>
      <c r="R34" s="2" t="str">
        <f t="shared" si="4"/>
        <v>人民币</v>
      </c>
      <c r="S34" s="2" t="str">
        <f>"1361000608"</f>
        <v>1361000608</v>
      </c>
    </row>
    <row r="35" spans="1:19">
      <c r="A35" s="2" t="str">
        <f t="shared" si="12"/>
        <v>20150707</v>
      </c>
      <c r="D35" s="2" t="str">
        <f t="shared" si="17"/>
        <v>融资借入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99612.45</v>
      </c>
      <c r="O35" s="2">
        <v>109676.03</v>
      </c>
      <c r="P35" s="2">
        <v>0</v>
      </c>
      <c r="R35" s="2" t="str">
        <f t="shared" si="4"/>
        <v>人民币</v>
      </c>
      <c r="S35" s="2" t="str">
        <f>"1361000717"</f>
        <v>1361000717</v>
      </c>
    </row>
    <row r="36" spans="1:19">
      <c r="A36" s="2" t="str">
        <f t="shared" si="12"/>
        <v>20150707</v>
      </c>
      <c r="D36" s="2" t="str">
        <f t="shared" si="17"/>
        <v>融资借入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14917.59</v>
      </c>
      <c r="O36" s="2">
        <v>124593.62</v>
      </c>
      <c r="P36" s="2">
        <v>0</v>
      </c>
      <c r="R36" s="2" t="str">
        <f t="shared" si="4"/>
        <v>人民币</v>
      </c>
      <c r="S36" s="2" t="str">
        <f>"1361000852"</f>
        <v>1361000852</v>
      </c>
    </row>
    <row r="37" spans="1:18">
      <c r="A37" s="2" t="str">
        <f t="shared" si="12"/>
        <v>20150707</v>
      </c>
      <c r="D37" s="2" t="str">
        <f t="shared" ref="D37:D42" si="18">"偿还融资负债本金"</f>
        <v>偿还融资负债本金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-14205.76</v>
      </c>
      <c r="O37" s="2">
        <v>110387.86</v>
      </c>
      <c r="P37" s="2">
        <v>0</v>
      </c>
      <c r="R37" s="2" t="str">
        <f t="shared" si="4"/>
        <v>人民币</v>
      </c>
    </row>
    <row r="38" spans="1:18">
      <c r="A38" s="2" t="str">
        <f t="shared" si="12"/>
        <v>20150707</v>
      </c>
      <c r="D38" s="2" t="str">
        <f t="shared" si="18"/>
        <v>偿还融资负债本金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-20653.29</v>
      </c>
      <c r="O38" s="2">
        <v>89734.57</v>
      </c>
      <c r="P38" s="2">
        <v>0</v>
      </c>
      <c r="R38" s="2" t="str">
        <f t="shared" si="4"/>
        <v>人民币</v>
      </c>
    </row>
    <row r="39" spans="1:18">
      <c r="A39" s="2" t="str">
        <f t="shared" si="12"/>
        <v>20150707</v>
      </c>
      <c r="D39" s="2" t="str">
        <f t="shared" si="18"/>
        <v>偿还融资负债本金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-20433.05</v>
      </c>
      <c r="O39" s="2">
        <v>69301.52</v>
      </c>
      <c r="P39" s="2">
        <v>0</v>
      </c>
      <c r="R39" s="2" t="str">
        <f t="shared" si="4"/>
        <v>人民币</v>
      </c>
    </row>
    <row r="40" spans="1:18">
      <c r="A40" s="2" t="str">
        <f t="shared" si="12"/>
        <v>20150707</v>
      </c>
      <c r="D40" s="2" t="str">
        <f t="shared" si="18"/>
        <v>偿还融资负债本金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-9911.19</v>
      </c>
      <c r="O40" s="2">
        <v>59390.33</v>
      </c>
      <c r="P40" s="2">
        <v>0</v>
      </c>
      <c r="R40" s="2" t="str">
        <f t="shared" si="4"/>
        <v>人民币</v>
      </c>
    </row>
    <row r="41" spans="1:18">
      <c r="A41" s="2" t="str">
        <f t="shared" si="12"/>
        <v>20150707</v>
      </c>
      <c r="D41" s="2" t="str">
        <f t="shared" si="18"/>
        <v>偿还融资负债本金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-9791.06</v>
      </c>
      <c r="O41" s="2">
        <v>49599.27</v>
      </c>
      <c r="P41" s="2">
        <v>0</v>
      </c>
      <c r="R41" s="2" t="str">
        <f t="shared" si="4"/>
        <v>人民币</v>
      </c>
    </row>
    <row r="42" spans="1:18">
      <c r="A42" s="2" t="str">
        <f t="shared" si="12"/>
        <v>20150707</v>
      </c>
      <c r="D42" s="2" t="str">
        <f t="shared" si="18"/>
        <v>偿还融资负债本金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-9741</v>
      </c>
      <c r="O42" s="2">
        <v>39858.27</v>
      </c>
      <c r="P42" s="2">
        <v>0</v>
      </c>
      <c r="R42" s="2" t="str">
        <f t="shared" si="4"/>
        <v>人民币</v>
      </c>
    </row>
    <row r="43" spans="1:18">
      <c r="A43" s="2" t="str">
        <f t="shared" si="12"/>
        <v>20150707</v>
      </c>
      <c r="D43" s="2" t="str">
        <f t="shared" ref="D43:D47" si="19">"偿还融资利息"</f>
        <v>偿还融资利息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-86.96</v>
      </c>
      <c r="O43" s="2">
        <v>39771.31</v>
      </c>
      <c r="P43" s="2">
        <v>0</v>
      </c>
      <c r="R43" s="2" t="str">
        <f t="shared" si="4"/>
        <v>人民币</v>
      </c>
    </row>
    <row r="44" spans="1:18">
      <c r="A44" s="2" t="str">
        <f t="shared" si="12"/>
        <v>20150707</v>
      </c>
      <c r="D44" s="2" t="str">
        <f t="shared" si="19"/>
        <v>偿还融资利息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-86.22</v>
      </c>
      <c r="O44" s="2">
        <v>39685.09</v>
      </c>
      <c r="P44" s="2">
        <v>0</v>
      </c>
      <c r="R44" s="2" t="str">
        <f t="shared" si="4"/>
        <v>人民币</v>
      </c>
    </row>
    <row r="45" spans="1:18">
      <c r="A45" s="2" t="str">
        <f t="shared" si="12"/>
        <v>20150707</v>
      </c>
      <c r="D45" s="2" t="str">
        <f t="shared" si="19"/>
        <v>偿还融资利息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-66.36</v>
      </c>
      <c r="O45" s="2">
        <v>39618.73</v>
      </c>
      <c r="P45" s="2">
        <v>0</v>
      </c>
      <c r="R45" s="2" t="str">
        <f t="shared" si="4"/>
        <v>人民币</v>
      </c>
    </row>
    <row r="46" spans="1:18">
      <c r="A46" s="2" t="str">
        <f t="shared" si="12"/>
        <v>20150707</v>
      </c>
      <c r="D46" s="2" t="str">
        <f t="shared" si="19"/>
        <v>偿还融资利息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-13.8</v>
      </c>
      <c r="O46" s="2">
        <v>39604.93</v>
      </c>
      <c r="P46" s="2">
        <v>0</v>
      </c>
      <c r="R46" s="2" t="str">
        <f t="shared" si="4"/>
        <v>人民币</v>
      </c>
    </row>
    <row r="47" spans="1:18">
      <c r="A47" s="2" t="str">
        <f t="shared" si="12"/>
        <v>20150707</v>
      </c>
      <c r="D47" s="2" t="str">
        <f t="shared" si="19"/>
        <v>偿还融资利息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-2.27</v>
      </c>
      <c r="O47" s="2">
        <v>39602.66</v>
      </c>
      <c r="P47" s="2">
        <v>0</v>
      </c>
      <c r="R47" s="2" t="str">
        <f t="shared" si="4"/>
        <v>人民币</v>
      </c>
    </row>
    <row r="48" spans="1:19">
      <c r="A48" s="2" t="str">
        <f t="shared" ref="A48:A50" si="20">"20150708"</f>
        <v>20150708</v>
      </c>
      <c r="B48" s="2" t="str">
        <f>"150181"</f>
        <v>150181</v>
      </c>
      <c r="C48" s="2" t="str">
        <f>"军工A"</f>
        <v>军工A</v>
      </c>
      <c r="D48" s="2" t="str">
        <f>"担保品买入"</f>
        <v>担保品买入</v>
      </c>
      <c r="E48" s="2">
        <v>0.8</v>
      </c>
      <c r="F48" s="2">
        <v>30000</v>
      </c>
      <c r="G48" s="2">
        <v>24000</v>
      </c>
      <c r="H48" s="2">
        <v>7.44</v>
      </c>
      <c r="I48" s="2">
        <v>5.1</v>
      </c>
      <c r="J48" s="2">
        <v>0</v>
      </c>
      <c r="K48" s="2">
        <v>0</v>
      </c>
      <c r="L48" s="2">
        <v>0</v>
      </c>
      <c r="M48" s="2">
        <v>0</v>
      </c>
      <c r="N48" s="2">
        <v>-24007.44</v>
      </c>
      <c r="O48" s="2">
        <v>15595.22</v>
      </c>
      <c r="P48" s="2">
        <v>101634</v>
      </c>
      <c r="Q48" s="2" t="str">
        <f>"0602175409"</f>
        <v>0602175409</v>
      </c>
      <c r="R48" s="2" t="str">
        <f t="shared" si="4"/>
        <v>人民币</v>
      </c>
      <c r="S48" s="2" t="str">
        <f>"T4000037"</f>
        <v>T4000037</v>
      </c>
    </row>
    <row r="49" spans="1:19">
      <c r="A49" s="2" t="str">
        <f t="shared" si="20"/>
        <v>20150708</v>
      </c>
      <c r="B49" s="2" t="str">
        <f t="shared" ref="B49:B53" si="21">"600066"</f>
        <v>600066</v>
      </c>
      <c r="C49" s="2" t="str">
        <f t="shared" ref="C49:C53" si="22">"宇通客车"</f>
        <v>宇通客车</v>
      </c>
      <c r="D49" s="2" t="str">
        <f>"融资买入"</f>
        <v>融资买入</v>
      </c>
      <c r="E49" s="2">
        <v>17.9</v>
      </c>
      <c r="F49" s="2">
        <v>500</v>
      </c>
      <c r="G49" s="2">
        <v>8950</v>
      </c>
      <c r="H49" s="2">
        <v>9.85</v>
      </c>
      <c r="I49" s="2">
        <v>9.05</v>
      </c>
      <c r="J49" s="2">
        <v>0</v>
      </c>
      <c r="K49" s="2">
        <v>0.3</v>
      </c>
      <c r="L49" s="2">
        <v>0</v>
      </c>
      <c r="M49" s="2">
        <v>0</v>
      </c>
      <c r="N49" s="2">
        <v>-8960.15</v>
      </c>
      <c r="O49" s="2">
        <v>6635.07</v>
      </c>
      <c r="P49" s="2">
        <v>10036</v>
      </c>
      <c r="Q49" s="2" t="str">
        <f t="shared" ref="Q49:Q53" si="23">"E021635187"</f>
        <v>E021635187</v>
      </c>
      <c r="R49" s="2" t="str">
        <f t="shared" si="4"/>
        <v>人民币</v>
      </c>
      <c r="S49" s="2" t="str">
        <f>"1361000248"</f>
        <v>1361000248</v>
      </c>
    </row>
    <row r="50" spans="1:19">
      <c r="A50" s="2" t="str">
        <f t="shared" si="20"/>
        <v>20150708</v>
      </c>
      <c r="D50" s="2" t="str">
        <f>"融资借入"</f>
        <v>融资借入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8960.15</v>
      </c>
      <c r="O50" s="2">
        <v>15595.22</v>
      </c>
      <c r="P50" s="2">
        <v>0</v>
      </c>
      <c r="R50" s="2" t="str">
        <f t="shared" si="4"/>
        <v>人民币</v>
      </c>
      <c r="S50" s="2" t="str">
        <f>"1361000248"</f>
        <v>1361000248</v>
      </c>
    </row>
    <row r="51" spans="1:19">
      <c r="A51" s="2" t="str">
        <f t="shared" ref="A51:A56" si="24">"20150709"</f>
        <v>20150709</v>
      </c>
      <c r="B51" s="2" t="str">
        <f t="shared" si="21"/>
        <v>600066</v>
      </c>
      <c r="C51" s="2" t="str">
        <f t="shared" si="22"/>
        <v>宇通客车</v>
      </c>
      <c r="D51" s="2" t="str">
        <f>"融资买入"</f>
        <v>融资买入</v>
      </c>
      <c r="E51" s="2">
        <v>16.11</v>
      </c>
      <c r="F51" s="2">
        <v>500</v>
      </c>
      <c r="G51" s="2">
        <v>8055</v>
      </c>
      <c r="H51" s="2">
        <v>8.86</v>
      </c>
      <c r="I51" s="2">
        <v>8.14</v>
      </c>
      <c r="J51" s="2">
        <v>0</v>
      </c>
      <c r="K51" s="2">
        <v>0.3</v>
      </c>
      <c r="L51" s="2">
        <v>0</v>
      </c>
      <c r="M51" s="2">
        <v>0</v>
      </c>
      <c r="N51" s="2">
        <v>-8064.16</v>
      </c>
      <c r="O51" s="2">
        <v>7531.06</v>
      </c>
      <c r="P51" s="2">
        <v>10536</v>
      </c>
      <c r="Q51" s="2" t="str">
        <f t="shared" si="23"/>
        <v>E021635187</v>
      </c>
      <c r="R51" s="2" t="str">
        <f t="shared" si="4"/>
        <v>人民币</v>
      </c>
      <c r="S51" s="2" t="str">
        <f>"1361000144"</f>
        <v>1361000144</v>
      </c>
    </row>
    <row r="52" spans="1:19">
      <c r="A52" s="2" t="str">
        <f t="shared" si="24"/>
        <v>20150709</v>
      </c>
      <c r="B52" s="2" t="str">
        <f t="shared" si="21"/>
        <v>600066</v>
      </c>
      <c r="C52" s="2" t="str">
        <f t="shared" si="22"/>
        <v>宇通客车</v>
      </c>
      <c r="D52" s="2" t="str">
        <f t="shared" ref="D52:D58" si="25">"担保品卖出"</f>
        <v>担保品卖出</v>
      </c>
      <c r="E52" s="2">
        <v>19.18</v>
      </c>
      <c r="F52" s="2">
        <v>500</v>
      </c>
      <c r="G52" s="2">
        <v>9590</v>
      </c>
      <c r="H52" s="2">
        <v>5</v>
      </c>
      <c r="I52" s="2">
        <v>4.14</v>
      </c>
      <c r="J52" s="2">
        <v>9.59</v>
      </c>
      <c r="K52" s="2">
        <v>0.3</v>
      </c>
      <c r="L52" s="2">
        <v>0</v>
      </c>
      <c r="M52" s="2">
        <v>0</v>
      </c>
      <c r="N52" s="2">
        <v>9575.11</v>
      </c>
      <c r="O52" s="2">
        <v>17106.17</v>
      </c>
      <c r="P52" s="2">
        <v>10036</v>
      </c>
      <c r="Q52" s="2" t="str">
        <f t="shared" si="23"/>
        <v>E021635187</v>
      </c>
      <c r="R52" s="2" t="str">
        <f t="shared" si="4"/>
        <v>人民币</v>
      </c>
      <c r="S52" s="2" t="str">
        <f>"1361001073"</f>
        <v>1361001073</v>
      </c>
    </row>
    <row r="53" spans="1:19">
      <c r="A53" s="2" t="str">
        <f t="shared" si="24"/>
        <v>20150709</v>
      </c>
      <c r="B53" s="2" t="str">
        <f t="shared" si="21"/>
        <v>600066</v>
      </c>
      <c r="C53" s="2" t="str">
        <f t="shared" si="22"/>
        <v>宇通客车</v>
      </c>
      <c r="D53" s="2" t="str">
        <f t="shared" si="25"/>
        <v>担保品卖出</v>
      </c>
      <c r="E53" s="2">
        <v>19.19</v>
      </c>
      <c r="F53" s="2">
        <v>500</v>
      </c>
      <c r="G53" s="2">
        <v>9595</v>
      </c>
      <c r="H53" s="2">
        <v>5</v>
      </c>
      <c r="I53" s="2">
        <v>4.14</v>
      </c>
      <c r="J53" s="2">
        <v>9.6</v>
      </c>
      <c r="K53" s="2">
        <v>0.3</v>
      </c>
      <c r="L53" s="2">
        <v>0</v>
      </c>
      <c r="M53" s="2">
        <v>0</v>
      </c>
      <c r="N53" s="2">
        <v>9580.1</v>
      </c>
      <c r="O53" s="2">
        <v>26686.27</v>
      </c>
      <c r="P53" s="2">
        <v>9536</v>
      </c>
      <c r="Q53" s="2" t="str">
        <f t="shared" si="23"/>
        <v>E021635187</v>
      </c>
      <c r="R53" s="2" t="str">
        <f t="shared" si="4"/>
        <v>人民币</v>
      </c>
      <c r="S53" s="2" t="str">
        <f>"1361001152"</f>
        <v>1361001152</v>
      </c>
    </row>
    <row r="54" spans="1:19">
      <c r="A54" s="2" t="str">
        <f t="shared" si="24"/>
        <v>20150709</v>
      </c>
      <c r="D54" s="2" t="str">
        <f>"融资借入"</f>
        <v>融资借入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8064.16</v>
      </c>
      <c r="O54" s="2">
        <v>34750.43</v>
      </c>
      <c r="P54" s="2">
        <v>0</v>
      </c>
      <c r="R54" s="2" t="str">
        <f t="shared" si="4"/>
        <v>人民币</v>
      </c>
      <c r="S54" s="2" t="str">
        <f>"1361000144"</f>
        <v>1361000144</v>
      </c>
    </row>
    <row r="55" spans="1:18">
      <c r="A55" s="2" t="str">
        <f t="shared" si="24"/>
        <v>20150709</v>
      </c>
      <c r="D55" s="2" t="str">
        <f t="shared" ref="D55:D59" si="26">"偿还融资负债本金"</f>
        <v>偿还融资负债本金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-9551.34</v>
      </c>
      <c r="O55" s="2">
        <v>25199.09</v>
      </c>
      <c r="P55" s="2">
        <v>0</v>
      </c>
      <c r="R55" s="2" t="str">
        <f t="shared" si="4"/>
        <v>人民币</v>
      </c>
    </row>
    <row r="56" spans="1:18">
      <c r="A56" s="2" t="str">
        <f t="shared" si="24"/>
        <v>20150709</v>
      </c>
      <c r="D56" s="2" t="str">
        <f t="shared" si="26"/>
        <v>偿还融资负债本金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-9556.31</v>
      </c>
      <c r="O56" s="2">
        <v>15642.78</v>
      </c>
      <c r="P56" s="2">
        <v>0</v>
      </c>
      <c r="R56" s="2" t="str">
        <f t="shared" si="4"/>
        <v>人民币</v>
      </c>
    </row>
    <row r="57" spans="1:19">
      <c r="A57" s="2" t="str">
        <f t="shared" ref="A57:A62" si="27">"20150710"</f>
        <v>20150710</v>
      </c>
      <c r="B57" s="2" t="str">
        <f>"600066"</f>
        <v>600066</v>
      </c>
      <c r="C57" s="2" t="str">
        <f>"宇通客车"</f>
        <v>宇通客车</v>
      </c>
      <c r="D57" s="2" t="str">
        <f t="shared" si="25"/>
        <v>担保品卖出</v>
      </c>
      <c r="E57" s="2">
        <v>20.89</v>
      </c>
      <c r="F57" s="2">
        <v>500</v>
      </c>
      <c r="G57" s="2">
        <v>10445</v>
      </c>
      <c r="H57" s="2">
        <v>5</v>
      </c>
      <c r="I57" s="2">
        <v>4.06</v>
      </c>
      <c r="J57" s="2">
        <v>10.45</v>
      </c>
      <c r="K57" s="2">
        <v>0.3</v>
      </c>
      <c r="L57" s="2">
        <v>0</v>
      </c>
      <c r="M57" s="2">
        <v>0</v>
      </c>
      <c r="N57" s="2">
        <v>10429.25</v>
      </c>
      <c r="O57" s="2">
        <v>26072.03</v>
      </c>
      <c r="P57" s="2">
        <v>9036</v>
      </c>
      <c r="Q57" s="2" t="str">
        <f>"E021635187"</f>
        <v>E021635187</v>
      </c>
      <c r="R57" s="2" t="str">
        <f t="shared" si="4"/>
        <v>人民币</v>
      </c>
      <c r="S57" s="2" t="str">
        <f>"1361000438"</f>
        <v>1361000438</v>
      </c>
    </row>
    <row r="58" spans="1:19">
      <c r="A58" s="2" t="str">
        <f t="shared" si="27"/>
        <v>20150710</v>
      </c>
      <c r="B58" s="2" t="str">
        <f>"150181"</f>
        <v>150181</v>
      </c>
      <c r="C58" s="2" t="str">
        <f>"军工A"</f>
        <v>军工A</v>
      </c>
      <c r="D58" s="2" t="str">
        <f t="shared" si="25"/>
        <v>担保品卖出</v>
      </c>
      <c r="E58" s="2">
        <v>0.803</v>
      </c>
      <c r="F58" s="2">
        <v>30000</v>
      </c>
      <c r="G58" s="2">
        <v>24090</v>
      </c>
      <c r="H58" s="2">
        <v>7.47</v>
      </c>
      <c r="I58" s="2">
        <v>5.12</v>
      </c>
      <c r="J58" s="2">
        <v>0</v>
      </c>
      <c r="K58" s="2">
        <v>0</v>
      </c>
      <c r="L58" s="2">
        <v>0</v>
      </c>
      <c r="M58" s="2">
        <v>0</v>
      </c>
      <c r="N58" s="2">
        <v>24082.53</v>
      </c>
      <c r="O58" s="2">
        <v>50154.56</v>
      </c>
      <c r="P58" s="2">
        <v>71634</v>
      </c>
      <c r="Q58" s="2" t="str">
        <f>"0602175409"</f>
        <v>0602175409</v>
      </c>
      <c r="R58" s="2" t="str">
        <f t="shared" si="4"/>
        <v>人民币</v>
      </c>
      <c r="S58" s="2" t="str">
        <f>"T4000498"</f>
        <v>T4000498</v>
      </c>
    </row>
    <row r="59" spans="1:18">
      <c r="A59" s="2" t="str">
        <f t="shared" si="27"/>
        <v>20150710</v>
      </c>
      <c r="D59" s="2" t="str">
        <f t="shared" si="26"/>
        <v>偿还融资负债本金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-9935.13</v>
      </c>
      <c r="O59" s="2">
        <v>40154.56</v>
      </c>
      <c r="P59" s="2">
        <v>0</v>
      </c>
      <c r="R59" s="2" t="str">
        <f t="shared" si="4"/>
        <v>人民币</v>
      </c>
    </row>
    <row r="60" spans="1:18">
      <c r="A60" s="2" t="str">
        <f t="shared" si="27"/>
        <v>20150710</v>
      </c>
      <c r="D60" s="2" t="str">
        <f>"偿还融资利息"</f>
        <v>偿还融资利息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-64.87</v>
      </c>
      <c r="O60" s="2">
        <v>50089.69</v>
      </c>
      <c r="P60" s="2">
        <v>0</v>
      </c>
      <c r="R60" s="2" t="str">
        <f t="shared" si="4"/>
        <v>人民币</v>
      </c>
    </row>
    <row r="61" spans="1:18">
      <c r="A61" s="2" t="str">
        <f t="shared" si="27"/>
        <v>20150710</v>
      </c>
      <c r="D61" s="2" t="str">
        <f>"偿还融资负债本金"</f>
        <v>偿还融资负债本金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-4431.64</v>
      </c>
      <c r="O61" s="2">
        <v>35722.92</v>
      </c>
      <c r="P61" s="2">
        <v>0</v>
      </c>
      <c r="R61" s="2" t="str">
        <f t="shared" si="4"/>
        <v>人民币</v>
      </c>
    </row>
    <row r="62" spans="1:18">
      <c r="A62" s="2" t="str">
        <f t="shared" si="27"/>
        <v>20150710</v>
      </c>
      <c r="D62" s="2" t="str">
        <f>"偿还融资负债本金"</f>
        <v>偿还融资负债本金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-5971.27</v>
      </c>
      <c r="O62" s="2">
        <v>29751.65</v>
      </c>
      <c r="P62" s="2">
        <v>0</v>
      </c>
      <c r="R62" s="2" t="str">
        <f t="shared" si="4"/>
        <v>人民币</v>
      </c>
    </row>
    <row r="63" spans="1:19">
      <c r="A63" s="2" t="str">
        <f t="shared" ref="A63:A75" si="28">"20150713"</f>
        <v>20150713</v>
      </c>
      <c r="B63" s="2" t="str">
        <f>"600219"</f>
        <v>600219</v>
      </c>
      <c r="C63" s="2" t="str">
        <f>"南山铝业"</f>
        <v>南山铝业</v>
      </c>
      <c r="D63" s="2" t="str">
        <f t="shared" ref="D63:D66" si="29">"担保品卖出"</f>
        <v>担保品卖出</v>
      </c>
      <c r="E63" s="2">
        <v>9.15</v>
      </c>
      <c r="F63" s="2">
        <v>2000</v>
      </c>
      <c r="G63" s="2">
        <v>18300</v>
      </c>
      <c r="H63" s="2">
        <v>5.67</v>
      </c>
      <c r="I63" s="2">
        <v>4.03</v>
      </c>
      <c r="J63" s="2">
        <v>18.3</v>
      </c>
      <c r="K63" s="2">
        <v>1.2</v>
      </c>
      <c r="L63" s="2">
        <v>0</v>
      </c>
      <c r="M63" s="2">
        <v>0</v>
      </c>
      <c r="N63" s="2">
        <v>18274.83</v>
      </c>
      <c r="O63" s="2">
        <v>48026.48</v>
      </c>
      <c r="P63" s="2">
        <v>2000</v>
      </c>
      <c r="Q63" s="2" t="str">
        <f t="shared" ref="Q63:Q66" si="30">"E021635187"</f>
        <v>E021635187</v>
      </c>
      <c r="R63" s="2" t="str">
        <f t="shared" si="4"/>
        <v>人民币</v>
      </c>
      <c r="S63" s="2" t="str">
        <f>"1361000312"</f>
        <v>1361000312</v>
      </c>
    </row>
    <row r="64" spans="1:19">
      <c r="A64" s="2" t="str">
        <f t="shared" si="28"/>
        <v>20150713</v>
      </c>
      <c r="B64" s="2" t="str">
        <f t="shared" ref="B64:B66" si="31">"600066"</f>
        <v>600066</v>
      </c>
      <c r="C64" s="2" t="str">
        <f t="shared" ref="C64:C66" si="32">"宇通客车"</f>
        <v>宇通客车</v>
      </c>
      <c r="D64" s="2" t="str">
        <f t="shared" si="29"/>
        <v>担保品卖出</v>
      </c>
      <c r="E64" s="2">
        <v>20.78</v>
      </c>
      <c r="F64" s="2">
        <v>2000</v>
      </c>
      <c r="G64" s="2">
        <v>41560</v>
      </c>
      <c r="H64" s="2">
        <v>12.88</v>
      </c>
      <c r="I64" s="2">
        <v>9.16</v>
      </c>
      <c r="J64" s="2">
        <v>41.56</v>
      </c>
      <c r="K64" s="2">
        <v>1.2</v>
      </c>
      <c r="L64" s="2">
        <v>0</v>
      </c>
      <c r="M64" s="2">
        <v>0</v>
      </c>
      <c r="N64" s="2">
        <v>41504.36</v>
      </c>
      <c r="O64" s="2">
        <v>89530.84</v>
      </c>
      <c r="P64" s="2">
        <v>7036</v>
      </c>
      <c r="Q64" s="2" t="str">
        <f t="shared" si="30"/>
        <v>E021635187</v>
      </c>
      <c r="R64" s="2" t="str">
        <f t="shared" si="4"/>
        <v>人民币</v>
      </c>
      <c r="S64" s="2" t="str">
        <f>"1361000632"</f>
        <v>1361000632</v>
      </c>
    </row>
    <row r="65" spans="1:19">
      <c r="A65" s="2" t="str">
        <f t="shared" si="28"/>
        <v>20150713</v>
      </c>
      <c r="B65" s="2" t="str">
        <f t="shared" si="31"/>
        <v>600066</v>
      </c>
      <c r="C65" s="2" t="str">
        <f t="shared" si="32"/>
        <v>宇通客车</v>
      </c>
      <c r="D65" s="2" t="str">
        <f t="shared" si="29"/>
        <v>担保品卖出</v>
      </c>
      <c r="E65" s="2">
        <v>21.15</v>
      </c>
      <c r="F65" s="2">
        <v>2036</v>
      </c>
      <c r="G65" s="2">
        <v>43061.4</v>
      </c>
      <c r="H65" s="2">
        <v>13.35</v>
      </c>
      <c r="I65" s="2">
        <v>9.49</v>
      </c>
      <c r="J65" s="2">
        <v>43.06</v>
      </c>
      <c r="K65" s="2">
        <v>1.22</v>
      </c>
      <c r="L65" s="2">
        <v>0</v>
      </c>
      <c r="M65" s="2">
        <v>0</v>
      </c>
      <c r="N65" s="2">
        <v>43003.77</v>
      </c>
      <c r="O65" s="2">
        <v>132534.61</v>
      </c>
      <c r="P65" s="2">
        <v>5000</v>
      </c>
      <c r="Q65" s="2" t="str">
        <f t="shared" si="30"/>
        <v>E021635187</v>
      </c>
      <c r="R65" s="2" t="str">
        <f t="shared" si="4"/>
        <v>人民币</v>
      </c>
      <c r="S65" s="2" t="str">
        <f>"1361001019"</f>
        <v>1361001019</v>
      </c>
    </row>
    <row r="66" spans="1:19">
      <c r="A66" s="2" t="str">
        <f t="shared" si="28"/>
        <v>20150713</v>
      </c>
      <c r="B66" s="2" t="str">
        <f t="shared" si="31"/>
        <v>600066</v>
      </c>
      <c r="C66" s="2" t="str">
        <f t="shared" si="32"/>
        <v>宇通客车</v>
      </c>
      <c r="D66" s="2" t="str">
        <f t="shared" si="29"/>
        <v>担保品卖出</v>
      </c>
      <c r="E66" s="2">
        <v>21.97</v>
      </c>
      <c r="F66" s="2">
        <v>500</v>
      </c>
      <c r="G66" s="2">
        <v>10985</v>
      </c>
      <c r="H66" s="2">
        <v>5</v>
      </c>
      <c r="I66" s="2">
        <v>4.02</v>
      </c>
      <c r="J66" s="2">
        <v>10.99</v>
      </c>
      <c r="K66" s="2">
        <v>0.3</v>
      </c>
      <c r="L66" s="2">
        <v>0</v>
      </c>
      <c r="M66" s="2">
        <v>0</v>
      </c>
      <c r="N66" s="2">
        <v>10968.71</v>
      </c>
      <c r="O66" s="2">
        <v>143503.32</v>
      </c>
      <c r="P66" s="2">
        <v>4500</v>
      </c>
      <c r="Q66" s="2" t="str">
        <f t="shared" si="30"/>
        <v>E021635187</v>
      </c>
      <c r="R66" s="2" t="str">
        <f t="shared" ref="R66:R129" si="33">"人民币"</f>
        <v>人民币</v>
      </c>
      <c r="S66" s="2" t="str">
        <f>"1361001179"</f>
        <v>1361001179</v>
      </c>
    </row>
    <row r="67" spans="1:18">
      <c r="A67" s="2" t="str">
        <f t="shared" si="28"/>
        <v>20150713</v>
      </c>
      <c r="D67" s="2" t="str">
        <f t="shared" ref="D67:D70" si="34">"偿还融资利息"</f>
        <v>偿还融资利息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-41.87</v>
      </c>
      <c r="O67" s="2">
        <v>143461.45</v>
      </c>
      <c r="P67" s="2">
        <v>0</v>
      </c>
      <c r="R67" s="2" t="str">
        <f t="shared" si="33"/>
        <v>人民币</v>
      </c>
    </row>
    <row r="68" spans="1:18">
      <c r="A68" s="2" t="str">
        <f t="shared" si="28"/>
        <v>20150713</v>
      </c>
      <c r="D68" s="2" t="str">
        <f t="shared" si="34"/>
        <v>偿还融资利息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-20.76</v>
      </c>
      <c r="O68" s="2">
        <v>143440.69</v>
      </c>
      <c r="P68" s="2">
        <v>0</v>
      </c>
      <c r="R68" s="2" t="str">
        <f t="shared" si="33"/>
        <v>人民币</v>
      </c>
    </row>
    <row r="69" spans="1:18">
      <c r="A69" s="2" t="str">
        <f t="shared" si="28"/>
        <v>20150713</v>
      </c>
      <c r="D69" s="2" t="str">
        <f t="shared" si="34"/>
        <v>偿还融资利息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-10.4</v>
      </c>
      <c r="O69" s="2">
        <v>143430.29</v>
      </c>
      <c r="P69" s="2">
        <v>0</v>
      </c>
      <c r="R69" s="2" t="str">
        <f t="shared" si="33"/>
        <v>人民币</v>
      </c>
    </row>
    <row r="70" spans="1:18">
      <c r="A70" s="2" t="str">
        <f t="shared" si="28"/>
        <v>20150713</v>
      </c>
      <c r="D70" s="2" t="str">
        <f t="shared" si="34"/>
        <v>偿还融资利息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-7.48</v>
      </c>
      <c r="O70" s="2">
        <v>143422.81</v>
      </c>
      <c r="P70" s="2">
        <v>0</v>
      </c>
      <c r="R70" s="2" t="str">
        <f t="shared" si="33"/>
        <v>人民币</v>
      </c>
    </row>
    <row r="71" spans="1:18">
      <c r="A71" s="2" t="str">
        <f t="shared" si="28"/>
        <v>20150713</v>
      </c>
      <c r="D71" s="2" t="str">
        <f t="shared" ref="D71:D75" si="35">"偿还融资负债本金"</f>
        <v>偿还融资负债本金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-41392.56</v>
      </c>
      <c r="O71" s="2">
        <v>102030.25</v>
      </c>
      <c r="P71" s="2">
        <v>0</v>
      </c>
      <c r="R71" s="2" t="str">
        <f t="shared" si="33"/>
        <v>人民币</v>
      </c>
    </row>
    <row r="72" spans="1:18">
      <c r="A72" s="2" t="str">
        <f t="shared" si="28"/>
        <v>20150713</v>
      </c>
      <c r="D72" s="2" t="str">
        <f t="shared" si="35"/>
        <v>偿还融资负债本金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-18774.2</v>
      </c>
      <c r="O72" s="2">
        <v>83256.05</v>
      </c>
      <c r="P72" s="2">
        <v>0</v>
      </c>
      <c r="R72" s="2" t="str">
        <f t="shared" si="33"/>
        <v>人民币</v>
      </c>
    </row>
    <row r="73" spans="1:18">
      <c r="A73" s="2" t="str">
        <f t="shared" si="28"/>
        <v>20150713</v>
      </c>
      <c r="D73" s="2" t="str">
        <f t="shared" si="35"/>
        <v>偿还融资负债本金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-14917.59</v>
      </c>
      <c r="O73" s="2">
        <v>68338.46</v>
      </c>
      <c r="P73" s="2">
        <v>0</v>
      </c>
      <c r="R73" s="2" t="str">
        <f t="shared" si="33"/>
        <v>人民币</v>
      </c>
    </row>
    <row r="74" spans="1:18">
      <c r="A74" s="2" t="str">
        <f t="shared" si="28"/>
        <v>20150713</v>
      </c>
      <c r="D74" s="2" t="str">
        <f t="shared" si="35"/>
        <v>偿还融资负债本金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-8960.15</v>
      </c>
      <c r="O74" s="2">
        <v>59378.31</v>
      </c>
      <c r="P74" s="2">
        <v>0</v>
      </c>
      <c r="R74" s="2" t="str">
        <f t="shared" si="33"/>
        <v>人民币</v>
      </c>
    </row>
    <row r="75" spans="1:18">
      <c r="A75" s="2" t="str">
        <f t="shared" si="28"/>
        <v>20150713</v>
      </c>
      <c r="D75" s="2" t="str">
        <f t="shared" si="35"/>
        <v>偿还融资负债本金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-8064.16</v>
      </c>
      <c r="O75" s="2">
        <v>51314.15</v>
      </c>
      <c r="P75" s="2">
        <v>0</v>
      </c>
      <c r="R75" s="2" t="str">
        <f t="shared" si="33"/>
        <v>人民币</v>
      </c>
    </row>
    <row r="76" spans="1:19">
      <c r="A76" s="2" t="str">
        <f t="shared" ref="A76:A85" si="36">"20150714"</f>
        <v>20150714</v>
      </c>
      <c r="B76" s="2" t="str">
        <f t="shared" ref="B76:B78" si="37">"600066"</f>
        <v>600066</v>
      </c>
      <c r="C76" s="2" t="str">
        <f t="shared" ref="C76:C78" si="38">"宇通客车"</f>
        <v>宇通客车</v>
      </c>
      <c r="D76" s="2" t="str">
        <f>"融资买入"</f>
        <v>融资买入</v>
      </c>
      <c r="E76" s="2">
        <v>20.15</v>
      </c>
      <c r="F76" s="2">
        <v>500</v>
      </c>
      <c r="G76" s="2">
        <v>10075</v>
      </c>
      <c r="H76" s="2">
        <v>11.08</v>
      </c>
      <c r="I76" s="2">
        <v>10.17</v>
      </c>
      <c r="J76" s="2">
        <v>0</v>
      </c>
      <c r="K76" s="2">
        <v>0.3</v>
      </c>
      <c r="L76" s="2">
        <v>0</v>
      </c>
      <c r="M76" s="2">
        <v>0</v>
      </c>
      <c r="N76" s="2">
        <v>-10086.38</v>
      </c>
      <c r="O76" s="2">
        <v>41227.77</v>
      </c>
      <c r="P76" s="2">
        <v>5000</v>
      </c>
      <c r="Q76" s="2" t="str">
        <f t="shared" ref="Q76:Q79" si="39">"E021635187"</f>
        <v>E021635187</v>
      </c>
      <c r="R76" s="2" t="str">
        <f t="shared" si="33"/>
        <v>人民币</v>
      </c>
      <c r="S76" s="2" t="str">
        <f>"1361000164"</f>
        <v>1361000164</v>
      </c>
    </row>
    <row r="77" spans="1:19">
      <c r="A77" s="2" t="str">
        <f t="shared" si="36"/>
        <v>20150714</v>
      </c>
      <c r="B77" s="2" t="str">
        <f t="shared" si="37"/>
        <v>600066</v>
      </c>
      <c r="C77" s="2" t="str">
        <f t="shared" si="38"/>
        <v>宇通客车</v>
      </c>
      <c r="D77" s="2" t="str">
        <f>"融资买入"</f>
        <v>融资买入</v>
      </c>
      <c r="E77" s="2">
        <v>20.54</v>
      </c>
      <c r="F77" s="2">
        <v>2000</v>
      </c>
      <c r="G77" s="2">
        <v>41080</v>
      </c>
      <c r="H77" s="2">
        <v>45.19</v>
      </c>
      <c r="I77" s="2">
        <v>41.5</v>
      </c>
      <c r="J77" s="2">
        <v>0</v>
      </c>
      <c r="K77" s="2">
        <v>1.2</v>
      </c>
      <c r="L77" s="2">
        <v>0</v>
      </c>
      <c r="M77" s="2">
        <v>0</v>
      </c>
      <c r="N77" s="2">
        <v>-41126.39</v>
      </c>
      <c r="O77" s="2">
        <v>101.38</v>
      </c>
      <c r="P77" s="2">
        <v>7000</v>
      </c>
      <c r="Q77" s="2" t="str">
        <f t="shared" si="39"/>
        <v>E021635187</v>
      </c>
      <c r="R77" s="2" t="str">
        <f t="shared" si="33"/>
        <v>人民币</v>
      </c>
      <c r="S77" s="2" t="str">
        <f>"1361000351"</f>
        <v>1361000351</v>
      </c>
    </row>
    <row r="78" spans="1:19">
      <c r="A78" s="2" t="str">
        <f t="shared" si="36"/>
        <v>20150714</v>
      </c>
      <c r="B78" s="2" t="str">
        <f t="shared" si="37"/>
        <v>600066</v>
      </c>
      <c r="C78" s="2" t="str">
        <f t="shared" si="38"/>
        <v>宇通客车</v>
      </c>
      <c r="D78" s="2" t="str">
        <f>"担保品卖出"</f>
        <v>担保品卖出</v>
      </c>
      <c r="E78" s="2">
        <v>20.48</v>
      </c>
      <c r="F78" s="2">
        <v>2500</v>
      </c>
      <c r="G78" s="2">
        <v>51200</v>
      </c>
      <c r="H78" s="2">
        <v>15.87</v>
      </c>
      <c r="I78" s="2">
        <v>11.28</v>
      </c>
      <c r="J78" s="2">
        <v>51.2</v>
      </c>
      <c r="K78" s="2">
        <v>1.5</v>
      </c>
      <c r="L78" s="2">
        <v>0</v>
      </c>
      <c r="M78" s="2">
        <v>0</v>
      </c>
      <c r="N78" s="2">
        <v>51131.43</v>
      </c>
      <c r="O78" s="2">
        <v>51232.81</v>
      </c>
      <c r="P78" s="2">
        <v>4500</v>
      </c>
      <c r="Q78" s="2" t="str">
        <f t="shared" si="39"/>
        <v>E021635187</v>
      </c>
      <c r="R78" s="2" t="str">
        <f t="shared" si="33"/>
        <v>人民币</v>
      </c>
      <c r="S78" s="2" t="str">
        <f>"1361000640"</f>
        <v>1361000640</v>
      </c>
    </row>
    <row r="79" spans="1:19">
      <c r="A79" s="2" t="str">
        <f t="shared" si="36"/>
        <v>20150714</v>
      </c>
      <c r="B79" s="2" t="str">
        <f>"600219"</f>
        <v>600219</v>
      </c>
      <c r="C79" s="2" t="str">
        <f>"南山铝业"</f>
        <v>南山铝业</v>
      </c>
      <c r="D79" s="2" t="str">
        <f>"担保品卖出"</f>
        <v>担保品卖出</v>
      </c>
      <c r="E79" s="2">
        <v>9.36</v>
      </c>
      <c r="F79" s="2">
        <v>2000</v>
      </c>
      <c r="G79" s="2">
        <v>18720</v>
      </c>
      <c r="H79" s="2">
        <v>5.8</v>
      </c>
      <c r="I79" s="2">
        <v>4.13</v>
      </c>
      <c r="J79" s="2">
        <v>18.72</v>
      </c>
      <c r="K79" s="2">
        <v>1.2</v>
      </c>
      <c r="L79" s="2">
        <v>0</v>
      </c>
      <c r="M79" s="2">
        <v>0</v>
      </c>
      <c r="N79" s="2">
        <v>18694.28</v>
      </c>
      <c r="O79" s="2">
        <v>69927.09</v>
      </c>
      <c r="P79" s="2">
        <v>0</v>
      </c>
      <c r="Q79" s="2" t="str">
        <f t="shared" si="39"/>
        <v>E021635187</v>
      </c>
      <c r="R79" s="2" t="str">
        <f t="shared" si="33"/>
        <v>人民币</v>
      </c>
      <c r="S79" s="2" t="str">
        <f>"1361000953"</f>
        <v>1361000953</v>
      </c>
    </row>
    <row r="80" spans="1:19">
      <c r="A80" s="2" t="str">
        <f t="shared" si="36"/>
        <v>20150714</v>
      </c>
      <c r="D80" s="2" t="str">
        <f>"融资借入"</f>
        <v>融资借入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10086.38</v>
      </c>
      <c r="O80" s="2">
        <v>80013.47</v>
      </c>
      <c r="P80" s="2">
        <v>0</v>
      </c>
      <c r="R80" s="2" t="str">
        <f t="shared" si="33"/>
        <v>人民币</v>
      </c>
      <c r="S80" s="2" t="str">
        <f>"1361000164"</f>
        <v>1361000164</v>
      </c>
    </row>
    <row r="81" spans="1:19">
      <c r="A81" s="2" t="str">
        <f t="shared" si="36"/>
        <v>20150714</v>
      </c>
      <c r="D81" s="2" t="str">
        <f>"融资借入"</f>
        <v>融资借入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41126.39</v>
      </c>
      <c r="O81" s="2">
        <v>121139.86</v>
      </c>
      <c r="P81" s="2">
        <v>0</v>
      </c>
      <c r="R81" s="2" t="str">
        <f t="shared" si="33"/>
        <v>人民币</v>
      </c>
      <c r="S81" s="2" t="str">
        <f>"1361000351"</f>
        <v>1361000351</v>
      </c>
    </row>
    <row r="82" spans="1:18">
      <c r="A82" s="2" t="str">
        <f t="shared" si="36"/>
        <v>20150714</v>
      </c>
      <c r="D82" s="2" t="str">
        <f t="shared" ref="D82:D85" si="40">"偿还融资负债本金"</f>
        <v>偿还融资负债本金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-316.27</v>
      </c>
      <c r="O82" s="2">
        <v>120823.59</v>
      </c>
      <c r="P82" s="2">
        <v>0</v>
      </c>
      <c r="R82" s="2" t="str">
        <f t="shared" si="33"/>
        <v>人民币</v>
      </c>
    </row>
    <row r="83" spans="1:18">
      <c r="A83" s="2" t="str">
        <f t="shared" si="36"/>
        <v>20150714</v>
      </c>
      <c r="D83" s="2" t="str">
        <f t="shared" si="40"/>
        <v>偿还融资负债本金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-10086.38</v>
      </c>
      <c r="O83" s="2">
        <v>110737.21</v>
      </c>
      <c r="P83" s="2">
        <v>0</v>
      </c>
      <c r="R83" s="2" t="str">
        <f t="shared" si="33"/>
        <v>人民币</v>
      </c>
    </row>
    <row r="84" spans="1:18">
      <c r="A84" s="2" t="str">
        <f t="shared" si="36"/>
        <v>20150714</v>
      </c>
      <c r="D84" s="2" t="str">
        <f t="shared" si="40"/>
        <v>偿还融资负债本金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-1381.79</v>
      </c>
      <c r="O84" s="2">
        <v>109355.42</v>
      </c>
      <c r="P84" s="2">
        <v>0</v>
      </c>
      <c r="R84" s="2" t="str">
        <f t="shared" si="33"/>
        <v>人民币</v>
      </c>
    </row>
    <row r="85" spans="1:18">
      <c r="A85" s="2" t="str">
        <f t="shared" si="36"/>
        <v>20150714</v>
      </c>
      <c r="D85" s="2" t="str">
        <f t="shared" si="40"/>
        <v>偿还融资负债本金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-39428.33</v>
      </c>
      <c r="O85" s="2">
        <v>69927.09</v>
      </c>
      <c r="P85" s="2">
        <v>0</v>
      </c>
      <c r="R85" s="2" t="str">
        <f t="shared" si="33"/>
        <v>人民币</v>
      </c>
    </row>
    <row r="86" spans="1:19">
      <c r="A86" s="2" t="str">
        <f>"20150715"</f>
        <v>20150715</v>
      </c>
      <c r="B86" s="2" t="str">
        <f t="shared" ref="B86:B91" si="41">"600066"</f>
        <v>600066</v>
      </c>
      <c r="C86" s="2" t="str">
        <f t="shared" ref="C86:C91" si="42">"宇通客车"</f>
        <v>宇通客车</v>
      </c>
      <c r="D86" s="2" t="str">
        <f>"融资买入"</f>
        <v>融资买入</v>
      </c>
      <c r="E86" s="2">
        <v>19.12</v>
      </c>
      <c r="F86" s="2">
        <v>500</v>
      </c>
      <c r="G86" s="2">
        <v>9560</v>
      </c>
      <c r="H86" s="2">
        <v>10.52</v>
      </c>
      <c r="I86" s="2">
        <v>9.66</v>
      </c>
      <c r="J86" s="2">
        <v>0</v>
      </c>
      <c r="K86" s="2">
        <v>0.3</v>
      </c>
      <c r="L86" s="2">
        <v>0</v>
      </c>
      <c r="M86" s="2">
        <v>0</v>
      </c>
      <c r="N86" s="2">
        <v>-9570.82</v>
      </c>
      <c r="O86" s="2">
        <v>60356.27</v>
      </c>
      <c r="P86" s="2">
        <v>5000</v>
      </c>
      <c r="Q86" s="2" t="str">
        <f t="shared" ref="Q86:Q91" si="43">"E021635187"</f>
        <v>E021635187</v>
      </c>
      <c r="R86" s="2" t="str">
        <f t="shared" si="33"/>
        <v>人民币</v>
      </c>
      <c r="S86" s="2" t="str">
        <f>"1361000450"</f>
        <v>1361000450</v>
      </c>
    </row>
    <row r="87" spans="1:19">
      <c r="A87" s="2" t="str">
        <f>"20150715"</f>
        <v>20150715</v>
      </c>
      <c r="D87" s="2" t="str">
        <f>"融资借入"</f>
        <v>融资借入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9570.82</v>
      </c>
      <c r="O87" s="2">
        <v>69927.09</v>
      </c>
      <c r="P87" s="2">
        <v>0</v>
      </c>
      <c r="R87" s="2" t="str">
        <f t="shared" si="33"/>
        <v>人民币</v>
      </c>
      <c r="S87" s="2" t="str">
        <f>"1361000450"</f>
        <v>1361000450</v>
      </c>
    </row>
    <row r="88" spans="1:19">
      <c r="A88" s="2" t="str">
        <f t="shared" ref="A88:A90" si="44">"20150716"</f>
        <v>20150716</v>
      </c>
      <c r="B88" s="2" t="str">
        <f t="shared" si="41"/>
        <v>600066</v>
      </c>
      <c r="C88" s="2" t="str">
        <f t="shared" si="42"/>
        <v>宇通客车</v>
      </c>
      <c r="D88" s="2" t="str">
        <f>"担保品卖出"</f>
        <v>担保品卖出</v>
      </c>
      <c r="E88" s="2">
        <v>19.29</v>
      </c>
      <c r="F88" s="2">
        <v>500</v>
      </c>
      <c r="G88" s="2">
        <v>9645</v>
      </c>
      <c r="H88" s="2">
        <v>5</v>
      </c>
      <c r="I88" s="2">
        <v>4.14</v>
      </c>
      <c r="J88" s="2">
        <v>9.65</v>
      </c>
      <c r="K88" s="2">
        <v>0.3</v>
      </c>
      <c r="L88" s="2">
        <v>0</v>
      </c>
      <c r="M88" s="2">
        <v>0</v>
      </c>
      <c r="N88" s="2">
        <v>9630.05</v>
      </c>
      <c r="O88" s="2">
        <v>79557.14</v>
      </c>
      <c r="P88" s="2">
        <v>4500</v>
      </c>
      <c r="Q88" s="2" t="str">
        <f t="shared" si="43"/>
        <v>E021635187</v>
      </c>
      <c r="R88" s="2" t="str">
        <f t="shared" si="33"/>
        <v>人民币</v>
      </c>
      <c r="S88" s="2" t="str">
        <f>"1361001081"</f>
        <v>1361001081</v>
      </c>
    </row>
    <row r="89" spans="1:18">
      <c r="A89" s="2" t="str">
        <f t="shared" si="44"/>
        <v>20150716</v>
      </c>
      <c r="D89" s="2" t="str">
        <f>"偿还融资利息"</f>
        <v>偿还融资利息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-2.22</v>
      </c>
      <c r="O89" s="2">
        <v>79554.92</v>
      </c>
      <c r="P89" s="2">
        <v>0</v>
      </c>
      <c r="R89" s="2" t="str">
        <f t="shared" si="33"/>
        <v>人民币</v>
      </c>
    </row>
    <row r="90" spans="1:18">
      <c r="A90" s="2" t="str">
        <f t="shared" si="44"/>
        <v>20150716</v>
      </c>
      <c r="D90" s="2" t="str">
        <f>"偿还融资负债本金"</f>
        <v>偿还融资负债本金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-9570.82</v>
      </c>
      <c r="O90" s="2">
        <v>69984.1</v>
      </c>
      <c r="P90" s="2">
        <v>0</v>
      </c>
      <c r="R90" s="2" t="str">
        <f t="shared" si="33"/>
        <v>人民币</v>
      </c>
    </row>
    <row r="91" spans="1:19">
      <c r="A91" s="2" t="str">
        <f t="shared" ref="A91:A95" si="45">"20150717"</f>
        <v>20150717</v>
      </c>
      <c r="B91" s="2" t="str">
        <f t="shared" si="41"/>
        <v>600066</v>
      </c>
      <c r="C91" s="2" t="str">
        <f t="shared" si="42"/>
        <v>宇通客车</v>
      </c>
      <c r="D91" s="2" t="str">
        <f>"融资买入"</f>
        <v>融资买入</v>
      </c>
      <c r="E91" s="2">
        <v>19.6</v>
      </c>
      <c r="F91" s="2">
        <v>1000</v>
      </c>
      <c r="G91" s="2">
        <v>19600</v>
      </c>
      <c r="H91" s="2">
        <v>21.56</v>
      </c>
      <c r="I91" s="2">
        <v>19.81</v>
      </c>
      <c r="J91" s="2">
        <v>0</v>
      </c>
      <c r="K91" s="2">
        <v>0.6</v>
      </c>
      <c r="L91" s="2">
        <v>0</v>
      </c>
      <c r="M91" s="2">
        <v>0</v>
      </c>
      <c r="N91" s="2">
        <v>-19622.16</v>
      </c>
      <c r="O91" s="2">
        <v>50361.94</v>
      </c>
      <c r="P91" s="2">
        <v>5500</v>
      </c>
      <c r="Q91" s="2" t="str">
        <f t="shared" si="43"/>
        <v>E021635187</v>
      </c>
      <c r="R91" s="2" t="str">
        <f t="shared" si="33"/>
        <v>人民币</v>
      </c>
      <c r="S91" s="2" t="str">
        <f>"1361000852"</f>
        <v>1361000852</v>
      </c>
    </row>
    <row r="92" spans="1:19">
      <c r="A92" s="2" t="str">
        <f t="shared" si="45"/>
        <v>20150717</v>
      </c>
      <c r="B92" s="2" t="str">
        <f>"150181"</f>
        <v>150181</v>
      </c>
      <c r="C92" s="2" t="str">
        <f>"军工A"</f>
        <v>军工A</v>
      </c>
      <c r="D92" s="2" t="str">
        <f>"担保品卖出"</f>
        <v>担保品卖出</v>
      </c>
      <c r="E92" s="2">
        <v>0.876</v>
      </c>
      <c r="F92" s="2">
        <v>71634</v>
      </c>
      <c r="G92" s="2">
        <v>62751.38</v>
      </c>
      <c r="H92" s="2">
        <v>19.45</v>
      </c>
      <c r="I92" s="2">
        <v>13.33</v>
      </c>
      <c r="J92" s="2">
        <v>0</v>
      </c>
      <c r="K92" s="2">
        <v>0</v>
      </c>
      <c r="L92" s="2">
        <v>0</v>
      </c>
      <c r="M92" s="2">
        <v>0</v>
      </c>
      <c r="N92" s="2">
        <v>62731.93</v>
      </c>
      <c r="O92" s="2">
        <v>113093.87</v>
      </c>
      <c r="P92" s="2">
        <v>0</v>
      </c>
      <c r="Q92" s="2" t="str">
        <f>"0602175409"</f>
        <v>0602175409</v>
      </c>
      <c r="R92" s="2" t="str">
        <f t="shared" si="33"/>
        <v>人民币</v>
      </c>
      <c r="S92" s="2" t="str">
        <f>"T4000804"</f>
        <v>T4000804</v>
      </c>
    </row>
    <row r="93" spans="1:19">
      <c r="A93" s="2" t="str">
        <f t="shared" si="45"/>
        <v>20150717</v>
      </c>
      <c r="B93" s="2" t="str">
        <f t="shared" ref="B93:B97" si="46">"600066"</f>
        <v>600066</v>
      </c>
      <c r="C93" s="2" t="str">
        <f t="shared" ref="C93:C97" si="47">"宇通客车"</f>
        <v>宇通客车</v>
      </c>
      <c r="D93" s="2" t="str">
        <f>"融资买入"</f>
        <v>融资买入</v>
      </c>
      <c r="E93" s="2">
        <v>19.82</v>
      </c>
      <c r="F93" s="2">
        <v>4500</v>
      </c>
      <c r="G93" s="2">
        <v>89190</v>
      </c>
      <c r="H93" s="2">
        <v>98.11</v>
      </c>
      <c r="I93" s="2">
        <v>90.12</v>
      </c>
      <c r="J93" s="2">
        <v>0</v>
      </c>
      <c r="K93" s="2">
        <v>2.7</v>
      </c>
      <c r="L93" s="2">
        <v>0</v>
      </c>
      <c r="M93" s="2">
        <v>0</v>
      </c>
      <c r="N93" s="2">
        <v>-89290.81</v>
      </c>
      <c r="O93" s="2">
        <v>23803.06</v>
      </c>
      <c r="P93" s="2">
        <v>10000</v>
      </c>
      <c r="Q93" s="2" t="str">
        <f t="shared" ref="Q93:Q97" si="48">"E021635187"</f>
        <v>E021635187</v>
      </c>
      <c r="R93" s="2" t="str">
        <f t="shared" si="33"/>
        <v>人民币</v>
      </c>
      <c r="S93" s="2" t="str">
        <f>"1361001063"</f>
        <v>1361001063</v>
      </c>
    </row>
    <row r="94" spans="1:19">
      <c r="A94" s="2" t="str">
        <f t="shared" si="45"/>
        <v>20150717</v>
      </c>
      <c r="D94" s="2" t="str">
        <f t="shared" ref="D94:D98" si="49">"融资借入"</f>
        <v>融资借入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19622.16</v>
      </c>
      <c r="O94" s="2">
        <v>43425.22</v>
      </c>
      <c r="P94" s="2">
        <v>0</v>
      </c>
      <c r="R94" s="2" t="str">
        <f t="shared" si="33"/>
        <v>人民币</v>
      </c>
      <c r="S94" s="2" t="str">
        <f>"1361000852"</f>
        <v>1361000852</v>
      </c>
    </row>
    <row r="95" spans="1:19">
      <c r="A95" s="2" t="str">
        <f t="shared" si="45"/>
        <v>20150717</v>
      </c>
      <c r="D95" s="2" t="str">
        <f t="shared" si="49"/>
        <v>融资借入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89290.81</v>
      </c>
      <c r="O95" s="2">
        <v>132716.03</v>
      </c>
      <c r="P95" s="2">
        <v>0</v>
      </c>
      <c r="R95" s="2" t="str">
        <f t="shared" si="33"/>
        <v>人民币</v>
      </c>
      <c r="S95" s="2" t="str">
        <f>"1361001063"</f>
        <v>1361001063</v>
      </c>
    </row>
    <row r="96" spans="1:19">
      <c r="A96" s="2" t="str">
        <f t="shared" ref="A96:A101" si="50">"20150720"</f>
        <v>20150720</v>
      </c>
      <c r="B96" s="2" t="str">
        <f t="shared" si="46"/>
        <v>600066</v>
      </c>
      <c r="C96" s="2" t="str">
        <f t="shared" si="47"/>
        <v>宇通客车</v>
      </c>
      <c r="D96" s="2" t="str">
        <f>"担保品卖出"</f>
        <v>担保品卖出</v>
      </c>
      <c r="E96" s="2">
        <v>20.08</v>
      </c>
      <c r="F96" s="2">
        <v>1000</v>
      </c>
      <c r="G96" s="2">
        <v>20080</v>
      </c>
      <c r="H96" s="2">
        <v>6.22</v>
      </c>
      <c r="I96" s="2">
        <v>4.42</v>
      </c>
      <c r="J96" s="2">
        <v>20.08</v>
      </c>
      <c r="K96" s="2">
        <v>0.6</v>
      </c>
      <c r="L96" s="2">
        <v>0</v>
      </c>
      <c r="M96" s="2">
        <v>0</v>
      </c>
      <c r="N96" s="2">
        <v>20053.1</v>
      </c>
      <c r="O96" s="2">
        <v>152769.13</v>
      </c>
      <c r="P96" s="2">
        <v>9000</v>
      </c>
      <c r="Q96" s="2" t="str">
        <f t="shared" si="48"/>
        <v>E021635187</v>
      </c>
      <c r="R96" s="2" t="str">
        <f t="shared" si="33"/>
        <v>人民币</v>
      </c>
      <c r="S96" s="2" t="str">
        <f>"1361000689"</f>
        <v>1361000689</v>
      </c>
    </row>
    <row r="97" spans="1:19">
      <c r="A97" s="2" t="str">
        <f t="shared" si="50"/>
        <v>20150720</v>
      </c>
      <c r="B97" s="2" t="str">
        <f t="shared" si="46"/>
        <v>600066</v>
      </c>
      <c r="C97" s="2" t="str">
        <f t="shared" si="47"/>
        <v>宇通客车</v>
      </c>
      <c r="D97" s="2" t="str">
        <f>"融资买入"</f>
        <v>融资买入</v>
      </c>
      <c r="E97" s="2">
        <v>19.91</v>
      </c>
      <c r="F97" s="2">
        <v>1000</v>
      </c>
      <c r="G97" s="2">
        <v>19910</v>
      </c>
      <c r="H97" s="2">
        <v>21.9</v>
      </c>
      <c r="I97" s="2">
        <v>20.11</v>
      </c>
      <c r="J97" s="2">
        <v>0</v>
      </c>
      <c r="K97" s="2">
        <v>0.6</v>
      </c>
      <c r="L97" s="2">
        <v>0</v>
      </c>
      <c r="M97" s="2">
        <v>0</v>
      </c>
      <c r="N97" s="2">
        <v>-19932.5</v>
      </c>
      <c r="O97" s="2">
        <v>132836.63</v>
      </c>
      <c r="P97" s="2">
        <v>10000</v>
      </c>
      <c r="Q97" s="2" t="str">
        <f t="shared" si="48"/>
        <v>E021635187</v>
      </c>
      <c r="R97" s="2" t="str">
        <f t="shared" si="33"/>
        <v>人民币</v>
      </c>
      <c r="S97" s="2" t="str">
        <f>"1361001111"</f>
        <v>1361001111</v>
      </c>
    </row>
    <row r="98" spans="1:19">
      <c r="A98" s="2" t="str">
        <f t="shared" si="50"/>
        <v>20150720</v>
      </c>
      <c r="D98" s="2" t="str">
        <f t="shared" si="49"/>
        <v>融资借入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19932.5</v>
      </c>
      <c r="O98" s="2">
        <v>152769.13</v>
      </c>
      <c r="P98" s="2">
        <v>0</v>
      </c>
      <c r="R98" s="2" t="str">
        <f t="shared" si="33"/>
        <v>人民币</v>
      </c>
      <c r="S98" s="2" t="str">
        <f>"1361001111"</f>
        <v>1361001111</v>
      </c>
    </row>
    <row r="99" spans="1:18">
      <c r="A99" s="2" t="str">
        <f t="shared" si="50"/>
        <v>20150720</v>
      </c>
      <c r="D99" s="2" t="str">
        <f t="shared" ref="D99:D105" si="51">"偿还融资负债本金"</f>
        <v>偿还融资负债本金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-19622.16</v>
      </c>
      <c r="O99" s="2">
        <v>133146.97</v>
      </c>
      <c r="P99" s="2">
        <v>0</v>
      </c>
      <c r="R99" s="2" t="str">
        <f t="shared" si="33"/>
        <v>人民币</v>
      </c>
    </row>
    <row r="100" spans="1:18">
      <c r="A100" s="2" t="str">
        <f t="shared" si="50"/>
        <v>20150720</v>
      </c>
      <c r="D100" s="2" t="str">
        <f t="shared" si="51"/>
        <v>偿还融资负债本金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-376.92</v>
      </c>
      <c r="O100" s="2">
        <v>132770.05</v>
      </c>
      <c r="P100" s="2">
        <v>0</v>
      </c>
      <c r="R100" s="2" t="str">
        <f t="shared" si="33"/>
        <v>人民币</v>
      </c>
    </row>
    <row r="101" spans="1:18">
      <c r="A101" s="2" t="str">
        <f t="shared" si="50"/>
        <v>20150720</v>
      </c>
      <c r="D101" s="2" t="str">
        <f>"偿还融资利息"</f>
        <v>偿还融资利息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-13.65</v>
      </c>
      <c r="O101" s="2">
        <v>132756.4</v>
      </c>
      <c r="P101" s="2">
        <v>0</v>
      </c>
      <c r="R101" s="2" t="str">
        <f t="shared" si="33"/>
        <v>人民币</v>
      </c>
    </row>
    <row r="102" spans="1:19">
      <c r="A102" s="2" t="str">
        <f t="shared" ref="A102:A105" si="52">"20150721"</f>
        <v>20150721</v>
      </c>
      <c r="B102" s="2" t="str">
        <f t="shared" ref="B102:B108" si="53">"600066"</f>
        <v>600066</v>
      </c>
      <c r="C102" s="2" t="str">
        <f t="shared" ref="C102:C108" si="54">"宇通客车"</f>
        <v>宇通客车</v>
      </c>
      <c r="D102" s="2" t="str">
        <f t="shared" ref="D102:D107" si="55">"担保品卖出"</f>
        <v>担保品卖出</v>
      </c>
      <c r="E102" s="2">
        <v>20.11</v>
      </c>
      <c r="F102" s="2">
        <v>2000</v>
      </c>
      <c r="G102" s="2">
        <v>40220</v>
      </c>
      <c r="H102" s="2">
        <v>12.47</v>
      </c>
      <c r="I102" s="2">
        <v>8.87</v>
      </c>
      <c r="J102" s="2">
        <v>40.22</v>
      </c>
      <c r="K102" s="2">
        <v>1.2</v>
      </c>
      <c r="L102" s="2">
        <v>0</v>
      </c>
      <c r="M102" s="2">
        <v>0</v>
      </c>
      <c r="N102" s="2">
        <v>40166.11</v>
      </c>
      <c r="O102" s="2">
        <v>172922.51</v>
      </c>
      <c r="P102" s="2">
        <v>8000</v>
      </c>
      <c r="Q102" s="2" t="str">
        <f t="shared" ref="Q102:Q108" si="56">"E021635187"</f>
        <v>E021635187</v>
      </c>
      <c r="R102" s="2" t="str">
        <f t="shared" si="33"/>
        <v>人民币</v>
      </c>
      <c r="S102" s="2" t="str">
        <f>"1361000243"</f>
        <v>1361000243</v>
      </c>
    </row>
    <row r="103" spans="1:19">
      <c r="A103" s="2" t="str">
        <f t="shared" si="52"/>
        <v>20150721</v>
      </c>
      <c r="B103" s="2" t="str">
        <f t="shared" si="53"/>
        <v>600066</v>
      </c>
      <c r="C103" s="2" t="str">
        <f t="shared" si="54"/>
        <v>宇通客车</v>
      </c>
      <c r="D103" s="2" t="str">
        <f t="shared" si="55"/>
        <v>担保品卖出</v>
      </c>
      <c r="E103" s="2">
        <v>20.28</v>
      </c>
      <c r="F103" s="2">
        <v>1000</v>
      </c>
      <c r="G103" s="2">
        <v>20280</v>
      </c>
      <c r="H103" s="2">
        <v>6.29</v>
      </c>
      <c r="I103" s="2">
        <v>4.47</v>
      </c>
      <c r="J103" s="2">
        <v>20.28</v>
      </c>
      <c r="K103" s="2">
        <v>0.6</v>
      </c>
      <c r="L103" s="2">
        <v>0</v>
      </c>
      <c r="M103" s="2">
        <v>0</v>
      </c>
      <c r="N103" s="2">
        <v>20252.83</v>
      </c>
      <c r="O103" s="2">
        <v>193175.34</v>
      </c>
      <c r="P103" s="2">
        <v>7000</v>
      </c>
      <c r="Q103" s="2" t="str">
        <f t="shared" si="56"/>
        <v>E021635187</v>
      </c>
      <c r="R103" s="2" t="str">
        <f t="shared" si="33"/>
        <v>人民币</v>
      </c>
      <c r="S103" s="2" t="str">
        <f>"1361000583"</f>
        <v>1361000583</v>
      </c>
    </row>
    <row r="104" spans="1:18">
      <c r="A104" s="2" t="str">
        <f t="shared" si="52"/>
        <v>20150721</v>
      </c>
      <c r="D104" s="2" t="str">
        <f t="shared" si="51"/>
        <v>偿还融资负债本金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-40057.92</v>
      </c>
      <c r="O104" s="2">
        <v>153117.42</v>
      </c>
      <c r="P104" s="2">
        <v>0</v>
      </c>
      <c r="R104" s="2" t="str">
        <f t="shared" si="33"/>
        <v>人民币</v>
      </c>
    </row>
    <row r="105" spans="1:18">
      <c r="A105" s="2" t="str">
        <f t="shared" si="52"/>
        <v>20150721</v>
      </c>
      <c r="D105" s="2" t="str">
        <f t="shared" si="51"/>
        <v>偿还融资负债本金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-20198.28</v>
      </c>
      <c r="O105" s="2">
        <v>132919.14</v>
      </c>
      <c r="P105" s="2">
        <v>0</v>
      </c>
      <c r="R105" s="2" t="str">
        <f t="shared" si="33"/>
        <v>人民币</v>
      </c>
    </row>
    <row r="106" spans="1:19">
      <c r="A106" s="2" t="str">
        <f t="shared" ref="A106:A115" si="57">"20150722"</f>
        <v>20150722</v>
      </c>
      <c r="B106" s="2" t="str">
        <f t="shared" si="53"/>
        <v>600066</v>
      </c>
      <c r="C106" s="2" t="str">
        <f t="shared" si="54"/>
        <v>宇通客车</v>
      </c>
      <c r="D106" s="2" t="str">
        <f>"融资买入"</f>
        <v>融资买入</v>
      </c>
      <c r="E106" s="2">
        <v>20.02</v>
      </c>
      <c r="F106" s="2">
        <v>1000</v>
      </c>
      <c r="G106" s="2">
        <v>20020</v>
      </c>
      <c r="H106" s="2">
        <v>22.02</v>
      </c>
      <c r="I106" s="2">
        <v>20.23</v>
      </c>
      <c r="J106" s="2">
        <v>0</v>
      </c>
      <c r="K106" s="2">
        <v>0.6</v>
      </c>
      <c r="L106" s="2">
        <v>0</v>
      </c>
      <c r="M106" s="2">
        <v>0</v>
      </c>
      <c r="N106" s="2">
        <v>-20042.62</v>
      </c>
      <c r="O106" s="2">
        <v>112876.52</v>
      </c>
      <c r="P106" s="2">
        <v>8000</v>
      </c>
      <c r="Q106" s="2" t="str">
        <f t="shared" si="56"/>
        <v>E021635187</v>
      </c>
      <c r="R106" s="2" t="str">
        <f t="shared" si="33"/>
        <v>人民币</v>
      </c>
      <c r="S106" s="2" t="str">
        <f>"1361000598"</f>
        <v>1361000598</v>
      </c>
    </row>
    <row r="107" spans="1:19">
      <c r="A107" s="2" t="str">
        <f t="shared" si="57"/>
        <v>20150722</v>
      </c>
      <c r="B107" s="2" t="str">
        <f t="shared" si="53"/>
        <v>600066</v>
      </c>
      <c r="C107" s="2" t="str">
        <f t="shared" si="54"/>
        <v>宇通客车</v>
      </c>
      <c r="D107" s="2" t="str">
        <f t="shared" si="55"/>
        <v>担保品卖出</v>
      </c>
      <c r="E107" s="2">
        <v>19.91</v>
      </c>
      <c r="F107" s="2">
        <v>7000</v>
      </c>
      <c r="G107" s="2">
        <v>139370</v>
      </c>
      <c r="H107" s="2">
        <v>43.2</v>
      </c>
      <c r="I107" s="2">
        <v>30.71</v>
      </c>
      <c r="J107" s="2">
        <v>139.38</v>
      </c>
      <c r="K107" s="2">
        <v>4.2</v>
      </c>
      <c r="L107" s="2">
        <v>0</v>
      </c>
      <c r="M107" s="2">
        <v>0</v>
      </c>
      <c r="N107" s="2">
        <v>139183.22</v>
      </c>
      <c r="O107" s="2">
        <v>252059.74</v>
      </c>
      <c r="P107" s="2">
        <v>1000</v>
      </c>
      <c r="Q107" s="2" t="str">
        <f t="shared" si="56"/>
        <v>E021635187</v>
      </c>
      <c r="R107" s="2" t="str">
        <f t="shared" si="33"/>
        <v>人民币</v>
      </c>
      <c r="S107" s="2" t="str">
        <f>"1361000736"</f>
        <v>1361000736</v>
      </c>
    </row>
    <row r="108" spans="1:19">
      <c r="A108" s="2" t="str">
        <f t="shared" si="57"/>
        <v>20150722</v>
      </c>
      <c r="B108" s="2" t="str">
        <f t="shared" si="53"/>
        <v>600066</v>
      </c>
      <c r="C108" s="2" t="str">
        <f t="shared" si="54"/>
        <v>宇通客车</v>
      </c>
      <c r="D108" s="2" t="str">
        <f>"融资买入"</f>
        <v>融资买入</v>
      </c>
      <c r="E108" s="2">
        <v>19.58</v>
      </c>
      <c r="F108" s="2">
        <v>2000</v>
      </c>
      <c r="G108" s="2">
        <v>39160</v>
      </c>
      <c r="H108" s="2">
        <v>43.08</v>
      </c>
      <c r="I108" s="2">
        <v>39.57</v>
      </c>
      <c r="J108" s="2">
        <v>0</v>
      </c>
      <c r="K108" s="2">
        <v>1.2</v>
      </c>
      <c r="L108" s="2">
        <v>0</v>
      </c>
      <c r="M108" s="2">
        <v>0</v>
      </c>
      <c r="N108" s="2">
        <v>-39204.28</v>
      </c>
      <c r="O108" s="2">
        <v>212855.46</v>
      </c>
      <c r="P108" s="2">
        <v>3000</v>
      </c>
      <c r="Q108" s="2" t="str">
        <f t="shared" si="56"/>
        <v>E021635187</v>
      </c>
      <c r="R108" s="2" t="str">
        <f t="shared" si="33"/>
        <v>人民币</v>
      </c>
      <c r="S108" s="2" t="str">
        <f>"1361001002"</f>
        <v>1361001002</v>
      </c>
    </row>
    <row r="109" spans="1:19">
      <c r="A109" s="2" t="str">
        <f t="shared" si="57"/>
        <v>20150722</v>
      </c>
      <c r="D109" s="2" t="str">
        <f>"融资借入"</f>
        <v>融资借入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20042.62</v>
      </c>
      <c r="O109" s="2">
        <v>232898.08</v>
      </c>
      <c r="P109" s="2">
        <v>0</v>
      </c>
      <c r="R109" s="2" t="str">
        <f t="shared" si="33"/>
        <v>人民币</v>
      </c>
      <c r="S109" s="2" t="str">
        <f>"1361000598"</f>
        <v>1361000598</v>
      </c>
    </row>
    <row r="110" spans="1:19">
      <c r="A110" s="2" t="str">
        <f t="shared" si="57"/>
        <v>20150722</v>
      </c>
      <c r="D110" s="2" t="str">
        <f>"融资借入"</f>
        <v>融资借入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39204.28</v>
      </c>
      <c r="O110" s="2">
        <v>272102.36</v>
      </c>
      <c r="P110" s="2">
        <v>0</v>
      </c>
      <c r="R110" s="2" t="str">
        <f t="shared" si="33"/>
        <v>人民币</v>
      </c>
      <c r="S110" s="2" t="str">
        <f>"1361001002"</f>
        <v>1361001002</v>
      </c>
    </row>
    <row r="111" spans="1:18">
      <c r="A111" s="2" t="str">
        <f t="shared" si="57"/>
        <v>20150722</v>
      </c>
      <c r="D111" s="2" t="str">
        <f>"偿还融资利息"</f>
        <v>偿还融资利息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-89.4</v>
      </c>
      <c r="O111" s="2">
        <v>272012.96</v>
      </c>
      <c r="P111" s="2">
        <v>0</v>
      </c>
      <c r="R111" s="2" t="str">
        <f t="shared" si="33"/>
        <v>人民币</v>
      </c>
    </row>
    <row r="112" spans="1:18">
      <c r="A112" s="2" t="str">
        <f t="shared" si="57"/>
        <v>20150722</v>
      </c>
      <c r="D112" s="2" t="str">
        <f>"偿还融资利息"</f>
        <v>偿还融资利息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-9.24</v>
      </c>
      <c r="O112" s="2">
        <v>272003.72</v>
      </c>
      <c r="P112" s="2">
        <v>0</v>
      </c>
      <c r="R112" s="2" t="str">
        <f t="shared" si="33"/>
        <v>人民币</v>
      </c>
    </row>
    <row r="113" spans="1:18">
      <c r="A113" s="2" t="str">
        <f t="shared" si="57"/>
        <v>20150722</v>
      </c>
      <c r="D113" s="2" t="str">
        <f t="shared" ref="D113:D115" si="58">"偿还融资负债本金"</f>
        <v>偿还融资负债本金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-28657.69</v>
      </c>
      <c r="O113" s="2">
        <v>243346.03</v>
      </c>
      <c r="P113" s="2">
        <v>0</v>
      </c>
      <c r="R113" s="2" t="str">
        <f t="shared" si="33"/>
        <v>人民币</v>
      </c>
    </row>
    <row r="114" spans="1:18">
      <c r="A114" s="2" t="str">
        <f t="shared" si="57"/>
        <v>20150722</v>
      </c>
      <c r="D114" s="2" t="str">
        <f t="shared" si="58"/>
        <v>偿还融资负债本金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-19932.5</v>
      </c>
      <c r="O114" s="2">
        <v>223413.53</v>
      </c>
      <c r="P114" s="2">
        <v>0</v>
      </c>
      <c r="R114" s="2" t="str">
        <f t="shared" si="33"/>
        <v>人民币</v>
      </c>
    </row>
    <row r="115" spans="1:18">
      <c r="A115" s="2" t="str">
        <f t="shared" si="57"/>
        <v>20150722</v>
      </c>
      <c r="D115" s="2" t="str">
        <f t="shared" si="58"/>
        <v>偿还融资负债本金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-20042.62</v>
      </c>
      <c r="O115" s="2">
        <v>203370.91</v>
      </c>
      <c r="P115" s="2">
        <v>0</v>
      </c>
      <c r="R115" s="2" t="str">
        <f t="shared" si="33"/>
        <v>人民币</v>
      </c>
    </row>
    <row r="116" spans="1:19">
      <c r="A116" s="2" t="str">
        <f>"20150723"</f>
        <v>20150723</v>
      </c>
      <c r="B116" s="2" t="str">
        <f>"600066"</f>
        <v>600066</v>
      </c>
      <c r="C116" s="2" t="str">
        <f>"宇通客车"</f>
        <v>宇通客车</v>
      </c>
      <c r="D116" s="2" t="str">
        <f>"融资买入"</f>
        <v>融资买入</v>
      </c>
      <c r="E116" s="2">
        <v>20</v>
      </c>
      <c r="F116" s="2">
        <v>2000</v>
      </c>
      <c r="G116" s="2">
        <v>40000</v>
      </c>
      <c r="H116" s="2">
        <v>44</v>
      </c>
      <c r="I116" s="2">
        <v>40.42</v>
      </c>
      <c r="J116" s="2">
        <v>0</v>
      </c>
      <c r="K116" s="2">
        <v>1.2</v>
      </c>
      <c r="L116" s="2">
        <v>0</v>
      </c>
      <c r="M116" s="2">
        <v>0</v>
      </c>
      <c r="N116" s="2">
        <v>-40045.2</v>
      </c>
      <c r="O116" s="2">
        <v>163325.71</v>
      </c>
      <c r="P116" s="2">
        <v>5000</v>
      </c>
      <c r="Q116" s="2" t="str">
        <f>"E021635187"</f>
        <v>E021635187</v>
      </c>
      <c r="R116" s="2" t="str">
        <f t="shared" si="33"/>
        <v>人民币</v>
      </c>
      <c r="S116" s="2" t="str">
        <f>"1361000853"</f>
        <v>1361000853</v>
      </c>
    </row>
    <row r="117" spans="1:19">
      <c r="A117" s="2" t="str">
        <f>"20150723"</f>
        <v>20150723</v>
      </c>
      <c r="D117" s="2" t="str">
        <f>"融资借入"</f>
        <v>融资借入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40045.2</v>
      </c>
      <c r="O117" s="2">
        <v>203370.91</v>
      </c>
      <c r="P117" s="2">
        <v>0</v>
      </c>
      <c r="R117" s="2" t="str">
        <f t="shared" si="33"/>
        <v>人民币</v>
      </c>
      <c r="S117" s="2" t="str">
        <f>"1361000853"</f>
        <v>1361000853</v>
      </c>
    </row>
    <row r="118" spans="1:19">
      <c r="A118" s="2" t="str">
        <f t="shared" ref="A118:A123" si="59">"20150724"</f>
        <v>20150724</v>
      </c>
      <c r="B118" s="2" t="str">
        <f>"600066"</f>
        <v>600066</v>
      </c>
      <c r="C118" s="2" t="str">
        <f>"宇通客车"</f>
        <v>宇通客车</v>
      </c>
      <c r="D118" s="2" t="str">
        <f>"担保品卖出"</f>
        <v>担保品卖出</v>
      </c>
      <c r="E118" s="2">
        <v>20.14</v>
      </c>
      <c r="F118" s="2">
        <v>2000</v>
      </c>
      <c r="G118" s="2">
        <v>40280</v>
      </c>
      <c r="H118" s="2">
        <v>12.49</v>
      </c>
      <c r="I118" s="2">
        <v>8.89</v>
      </c>
      <c r="J118" s="2">
        <v>40.27</v>
      </c>
      <c r="K118" s="2">
        <v>1.2</v>
      </c>
      <c r="L118" s="2">
        <v>0</v>
      </c>
      <c r="M118" s="2">
        <v>0</v>
      </c>
      <c r="N118" s="2">
        <v>40226.04</v>
      </c>
      <c r="O118" s="2">
        <v>243596.95</v>
      </c>
      <c r="P118" s="2">
        <v>3000</v>
      </c>
      <c r="Q118" s="2" t="str">
        <f>"E021635187"</f>
        <v>E021635187</v>
      </c>
      <c r="R118" s="2" t="str">
        <f t="shared" si="33"/>
        <v>人民币</v>
      </c>
      <c r="S118" s="2" t="str">
        <f>"1361001153"</f>
        <v>1361001153</v>
      </c>
    </row>
    <row r="119" spans="1:18">
      <c r="A119" s="2" t="str">
        <f t="shared" si="59"/>
        <v>20150724</v>
      </c>
      <c r="D119" s="2" t="str">
        <f t="shared" ref="D119:D122" si="60">"偿还融资负债本金"</f>
        <v>偿还融资负债本金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-6017.65</v>
      </c>
      <c r="O119" s="2">
        <v>237579.3</v>
      </c>
      <c r="P119" s="2">
        <v>0</v>
      </c>
      <c r="R119" s="2" t="str">
        <f t="shared" si="33"/>
        <v>人民币</v>
      </c>
    </row>
    <row r="120" spans="1:18">
      <c r="A120" s="2" t="str">
        <f t="shared" si="59"/>
        <v>20150724</v>
      </c>
      <c r="D120" s="2" t="str">
        <f t="shared" si="60"/>
        <v>偿还融资负债本金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-32094.14</v>
      </c>
      <c r="O120" s="2">
        <v>205485.16</v>
      </c>
      <c r="P120" s="2">
        <v>0</v>
      </c>
      <c r="R120" s="2" t="str">
        <f t="shared" si="33"/>
        <v>人民币</v>
      </c>
    </row>
    <row r="121" spans="1:18">
      <c r="A121" s="2" t="str">
        <f t="shared" si="59"/>
        <v>20150724</v>
      </c>
      <c r="D121" s="2" t="str">
        <f t="shared" si="60"/>
        <v>偿还融资负债本金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-1092.49</v>
      </c>
      <c r="O121" s="2">
        <v>204392.67</v>
      </c>
      <c r="P121" s="2">
        <v>0</v>
      </c>
      <c r="R121" s="2" t="str">
        <f t="shared" si="33"/>
        <v>人民币</v>
      </c>
    </row>
    <row r="122" spans="1:18">
      <c r="A122" s="2" t="str">
        <f t="shared" si="59"/>
        <v>20150724</v>
      </c>
      <c r="D122" s="2" t="str">
        <f t="shared" si="60"/>
        <v>偿还融资负债本金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-913.4</v>
      </c>
      <c r="O122" s="2">
        <v>203479.27</v>
      </c>
      <c r="P122" s="2">
        <v>0</v>
      </c>
      <c r="R122" s="2" t="str">
        <f t="shared" si="33"/>
        <v>人民币</v>
      </c>
    </row>
    <row r="123" spans="1:18">
      <c r="A123" s="2" t="str">
        <f t="shared" si="59"/>
        <v>20150724</v>
      </c>
      <c r="D123" s="2" t="str">
        <f>"偿还融资利息"</f>
        <v>偿还融资利息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-18.18</v>
      </c>
      <c r="O123" s="2">
        <v>203461.09</v>
      </c>
      <c r="P123" s="2">
        <v>0</v>
      </c>
      <c r="R123" s="2" t="str">
        <f t="shared" si="33"/>
        <v>人民币</v>
      </c>
    </row>
    <row r="124" spans="1:19">
      <c r="A124" s="2" t="str">
        <f>"20150727"</f>
        <v>20150727</v>
      </c>
      <c r="B124" s="2" t="str">
        <f>"600066"</f>
        <v>600066</v>
      </c>
      <c r="C124" s="2" t="str">
        <f>"宇通客车"</f>
        <v>宇通客车</v>
      </c>
      <c r="D124" s="2" t="str">
        <f>"融资买入"</f>
        <v>融资买入</v>
      </c>
      <c r="E124" s="2">
        <v>19.42</v>
      </c>
      <c r="F124" s="2">
        <v>1000</v>
      </c>
      <c r="G124" s="2">
        <v>19420</v>
      </c>
      <c r="H124" s="2">
        <v>21.36</v>
      </c>
      <c r="I124" s="2">
        <v>19.62</v>
      </c>
      <c r="J124" s="2">
        <v>0</v>
      </c>
      <c r="K124" s="2">
        <v>0.6</v>
      </c>
      <c r="L124" s="2">
        <v>0</v>
      </c>
      <c r="M124" s="2">
        <v>0</v>
      </c>
      <c r="N124" s="2">
        <v>-19441.96</v>
      </c>
      <c r="O124" s="2">
        <v>184019.13</v>
      </c>
      <c r="P124" s="2">
        <v>4000</v>
      </c>
      <c r="Q124" s="2" t="str">
        <f>"E021635187"</f>
        <v>E021635187</v>
      </c>
      <c r="R124" s="2" t="str">
        <f t="shared" si="33"/>
        <v>人民币</v>
      </c>
      <c r="S124" s="2" t="str">
        <f>"1361000141"</f>
        <v>1361000141</v>
      </c>
    </row>
    <row r="125" spans="1:19">
      <c r="A125" s="2" t="str">
        <f>"20150727"</f>
        <v>20150727</v>
      </c>
      <c r="D125" s="2" t="str">
        <f>"融资借入"</f>
        <v>融资借入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19441.96</v>
      </c>
      <c r="O125" s="2">
        <v>203461.09</v>
      </c>
      <c r="P125" s="2">
        <v>0</v>
      </c>
      <c r="R125" s="2" t="str">
        <f t="shared" si="33"/>
        <v>人民币</v>
      </c>
      <c r="S125" s="2" t="str">
        <f>"1361000141"</f>
        <v>1361000141</v>
      </c>
    </row>
    <row r="126" spans="1:19">
      <c r="A126" s="2" t="str">
        <f>"20150728"</f>
        <v>20150728</v>
      </c>
      <c r="B126" s="2" t="str">
        <f t="shared" ref="B126:B128" si="61">"150181"</f>
        <v>150181</v>
      </c>
      <c r="C126" s="2" t="str">
        <f t="shared" ref="C126:C128" si="62">"军工A"</f>
        <v>军工A</v>
      </c>
      <c r="D126" s="2" t="str">
        <f t="shared" ref="D126:D131" si="63">"担保品买入"</f>
        <v>担保品买入</v>
      </c>
      <c r="E126" s="2">
        <v>0.837</v>
      </c>
      <c r="F126" s="2">
        <v>100000</v>
      </c>
      <c r="G126" s="2">
        <v>83700</v>
      </c>
      <c r="H126" s="2">
        <v>25.95</v>
      </c>
      <c r="I126" s="2">
        <v>17.79</v>
      </c>
      <c r="J126" s="2">
        <v>0</v>
      </c>
      <c r="K126" s="2">
        <v>0</v>
      </c>
      <c r="L126" s="2">
        <v>0</v>
      </c>
      <c r="M126" s="2">
        <v>0</v>
      </c>
      <c r="N126" s="2">
        <v>-83725.95</v>
      </c>
      <c r="O126" s="2">
        <v>119735.14</v>
      </c>
      <c r="P126" s="2">
        <v>100000</v>
      </c>
      <c r="Q126" s="2" t="str">
        <f t="shared" ref="Q126:Q128" si="64">"0602175409"</f>
        <v>0602175409</v>
      </c>
      <c r="R126" s="2" t="str">
        <f t="shared" si="33"/>
        <v>人民币</v>
      </c>
      <c r="S126" s="2" t="str">
        <f>"T4000194"</f>
        <v>T4000194</v>
      </c>
    </row>
    <row r="127" spans="1:19">
      <c r="A127" s="2" t="str">
        <f>"20150729"</f>
        <v>20150729</v>
      </c>
      <c r="B127" s="2" t="str">
        <f t="shared" si="61"/>
        <v>150181</v>
      </c>
      <c r="C127" s="2" t="str">
        <f t="shared" si="62"/>
        <v>军工A</v>
      </c>
      <c r="D127" s="2" t="str">
        <f>"担保品卖出"</f>
        <v>担保品卖出</v>
      </c>
      <c r="E127" s="2">
        <v>0.845</v>
      </c>
      <c r="F127" s="2">
        <v>50000</v>
      </c>
      <c r="G127" s="2">
        <v>42250.01</v>
      </c>
      <c r="H127" s="2">
        <v>13.1</v>
      </c>
      <c r="I127" s="2">
        <v>8.98</v>
      </c>
      <c r="J127" s="2">
        <v>0</v>
      </c>
      <c r="K127" s="2">
        <v>0</v>
      </c>
      <c r="L127" s="2">
        <v>0</v>
      </c>
      <c r="M127" s="2">
        <v>0</v>
      </c>
      <c r="N127" s="2">
        <v>42236.91</v>
      </c>
      <c r="O127" s="2">
        <v>161972.05</v>
      </c>
      <c r="P127" s="2">
        <v>50000</v>
      </c>
      <c r="Q127" s="2" t="str">
        <f t="shared" si="64"/>
        <v>0602175409</v>
      </c>
      <c r="R127" s="2" t="str">
        <f t="shared" si="33"/>
        <v>人民币</v>
      </c>
      <c r="S127" s="2" t="str">
        <f>"T4000652"</f>
        <v>T4000652</v>
      </c>
    </row>
    <row r="128" spans="1:19">
      <c r="A128" s="2" t="str">
        <f>"20150729"</f>
        <v>20150729</v>
      </c>
      <c r="B128" s="2" t="str">
        <f t="shared" si="61"/>
        <v>150181</v>
      </c>
      <c r="C128" s="2" t="str">
        <f t="shared" si="62"/>
        <v>军工A</v>
      </c>
      <c r="D128" s="2" t="str">
        <f>"担保品卖出"</f>
        <v>担保品卖出</v>
      </c>
      <c r="E128" s="2">
        <v>0.843</v>
      </c>
      <c r="F128" s="2">
        <v>50000</v>
      </c>
      <c r="G128" s="2">
        <v>42150</v>
      </c>
      <c r="H128" s="2">
        <v>13.07</v>
      </c>
      <c r="I128" s="2">
        <v>8.96</v>
      </c>
      <c r="J128" s="2">
        <v>0</v>
      </c>
      <c r="K128" s="2">
        <v>0</v>
      </c>
      <c r="L128" s="2">
        <v>0</v>
      </c>
      <c r="M128" s="2">
        <v>0</v>
      </c>
      <c r="N128" s="2">
        <v>42136.93</v>
      </c>
      <c r="O128" s="2">
        <v>204108.98</v>
      </c>
      <c r="P128" s="2">
        <v>0</v>
      </c>
      <c r="Q128" s="2" t="str">
        <f t="shared" si="64"/>
        <v>0602175409</v>
      </c>
      <c r="R128" s="2" t="str">
        <f t="shared" si="33"/>
        <v>人民币</v>
      </c>
      <c r="S128" s="2" t="str">
        <f>"T4000710"</f>
        <v>T4000710</v>
      </c>
    </row>
    <row r="129" spans="1:19">
      <c r="A129" s="2" t="str">
        <f>"20150730"</f>
        <v>20150730</v>
      </c>
      <c r="B129" s="2" t="str">
        <f t="shared" ref="B129:B132" si="65">"600066"</f>
        <v>600066</v>
      </c>
      <c r="C129" s="2" t="str">
        <f t="shared" ref="C129:C132" si="66">"宇通客车"</f>
        <v>宇通客车</v>
      </c>
      <c r="D129" s="2" t="str">
        <f t="shared" si="63"/>
        <v>担保品买入</v>
      </c>
      <c r="E129" s="2">
        <v>19.27</v>
      </c>
      <c r="F129" s="2">
        <v>500</v>
      </c>
      <c r="G129" s="2">
        <v>9635</v>
      </c>
      <c r="H129" s="2">
        <v>5</v>
      </c>
      <c r="I129" s="2">
        <v>4.14</v>
      </c>
      <c r="J129" s="2">
        <v>0</v>
      </c>
      <c r="K129" s="2">
        <v>0.3</v>
      </c>
      <c r="L129" s="2">
        <v>0</v>
      </c>
      <c r="M129" s="2">
        <v>0</v>
      </c>
      <c r="N129" s="2">
        <v>-9640.3</v>
      </c>
      <c r="O129" s="2">
        <v>194468.68</v>
      </c>
      <c r="P129" s="2">
        <v>4500</v>
      </c>
      <c r="Q129" s="2" t="str">
        <f t="shared" ref="Q129:Q132" si="67">"E021635187"</f>
        <v>E021635187</v>
      </c>
      <c r="R129" s="2" t="str">
        <f t="shared" si="33"/>
        <v>人民币</v>
      </c>
      <c r="S129" s="2" t="str">
        <f>"1361000639"</f>
        <v>1361000639</v>
      </c>
    </row>
    <row r="130" spans="1:19">
      <c r="A130" s="2" t="str">
        <f>"20150731"</f>
        <v>20150731</v>
      </c>
      <c r="B130" s="2" t="str">
        <f t="shared" si="65"/>
        <v>600066</v>
      </c>
      <c r="C130" s="2" t="str">
        <f t="shared" si="66"/>
        <v>宇通客车</v>
      </c>
      <c r="D130" s="2" t="str">
        <f t="shared" si="63"/>
        <v>担保品买入</v>
      </c>
      <c r="E130" s="2">
        <v>18.66</v>
      </c>
      <c r="F130" s="2">
        <v>500</v>
      </c>
      <c r="G130" s="2">
        <v>9330</v>
      </c>
      <c r="H130" s="2">
        <v>5</v>
      </c>
      <c r="I130" s="2">
        <v>4.16</v>
      </c>
      <c r="J130" s="2">
        <v>0</v>
      </c>
      <c r="K130" s="2">
        <v>0.3</v>
      </c>
      <c r="L130" s="2">
        <v>0</v>
      </c>
      <c r="M130" s="2">
        <v>0</v>
      </c>
      <c r="N130" s="2">
        <v>-9335.3</v>
      </c>
      <c r="O130" s="2">
        <v>185133.38</v>
      </c>
      <c r="P130" s="2">
        <v>5000</v>
      </c>
      <c r="Q130" s="2" t="str">
        <f t="shared" si="67"/>
        <v>E021635187</v>
      </c>
      <c r="R130" s="2" t="str">
        <f t="shared" ref="R130:R193" si="68">"人民币"</f>
        <v>人民币</v>
      </c>
      <c r="S130" s="2" t="str">
        <f>"1361000135"</f>
        <v>1361000135</v>
      </c>
    </row>
    <row r="131" spans="1:19">
      <c r="A131" s="2" t="str">
        <f t="shared" ref="A131:A133" si="69">"20150803"</f>
        <v>20150803</v>
      </c>
      <c r="B131" s="2" t="str">
        <f t="shared" si="65"/>
        <v>600066</v>
      </c>
      <c r="C131" s="2" t="str">
        <f t="shared" si="66"/>
        <v>宇通客车</v>
      </c>
      <c r="D131" s="2" t="str">
        <f t="shared" si="63"/>
        <v>担保品买入</v>
      </c>
      <c r="E131" s="2">
        <v>19.38</v>
      </c>
      <c r="F131" s="2">
        <v>2000</v>
      </c>
      <c r="G131" s="2">
        <v>38760</v>
      </c>
      <c r="H131" s="2">
        <v>12.02</v>
      </c>
      <c r="I131" s="2">
        <v>9.36</v>
      </c>
      <c r="J131" s="2">
        <v>0</v>
      </c>
      <c r="K131" s="2">
        <v>0.78</v>
      </c>
      <c r="L131" s="2">
        <v>0</v>
      </c>
      <c r="M131" s="2">
        <v>0</v>
      </c>
      <c r="N131" s="2">
        <v>-38772.8</v>
      </c>
      <c r="O131" s="2">
        <v>146360.58</v>
      </c>
      <c r="P131" s="2">
        <v>7000</v>
      </c>
      <c r="Q131" s="2" t="str">
        <f t="shared" si="67"/>
        <v>E021635187</v>
      </c>
      <c r="R131" s="2" t="str">
        <f t="shared" si="68"/>
        <v>人民币</v>
      </c>
      <c r="S131" s="2" t="str">
        <f>"1361000163"</f>
        <v>1361000163</v>
      </c>
    </row>
    <row r="132" spans="1:19">
      <c r="A132" s="2" t="str">
        <f t="shared" si="69"/>
        <v>20150803</v>
      </c>
      <c r="B132" s="2" t="str">
        <f t="shared" si="65"/>
        <v>600066</v>
      </c>
      <c r="C132" s="2" t="str">
        <f t="shared" si="66"/>
        <v>宇通客车</v>
      </c>
      <c r="D132" s="2" t="str">
        <f>"融资买入"</f>
        <v>融资买入</v>
      </c>
      <c r="E132" s="2">
        <v>19.65</v>
      </c>
      <c r="F132" s="2">
        <v>3000</v>
      </c>
      <c r="G132" s="2">
        <v>58950</v>
      </c>
      <c r="H132" s="2">
        <v>64.85</v>
      </c>
      <c r="I132" s="2">
        <v>60.8</v>
      </c>
      <c r="J132" s="2">
        <v>0</v>
      </c>
      <c r="K132" s="2">
        <v>1.18</v>
      </c>
      <c r="L132" s="2">
        <v>0</v>
      </c>
      <c r="M132" s="2">
        <v>0</v>
      </c>
      <c r="N132" s="2">
        <v>-59016.03</v>
      </c>
      <c r="O132" s="2">
        <v>87344.55</v>
      </c>
      <c r="P132" s="2">
        <v>10000</v>
      </c>
      <c r="Q132" s="2" t="str">
        <f t="shared" si="67"/>
        <v>E021635187</v>
      </c>
      <c r="R132" s="2" t="str">
        <f t="shared" si="68"/>
        <v>人民币</v>
      </c>
      <c r="S132" s="2" t="str">
        <f>"1361000357"</f>
        <v>1361000357</v>
      </c>
    </row>
    <row r="133" spans="1:19">
      <c r="A133" s="2" t="str">
        <f t="shared" si="69"/>
        <v>20150803</v>
      </c>
      <c r="D133" s="2" t="str">
        <f>"融资借入"</f>
        <v>融资借入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59016.03</v>
      </c>
      <c r="O133" s="2">
        <v>146360.58</v>
      </c>
      <c r="P133" s="2">
        <v>0</v>
      </c>
      <c r="R133" s="2" t="str">
        <f t="shared" si="68"/>
        <v>人民币</v>
      </c>
      <c r="S133" s="2" t="str">
        <f>"1361000357"</f>
        <v>1361000357</v>
      </c>
    </row>
    <row r="134" spans="1:19">
      <c r="A134" s="2" t="str">
        <f t="shared" ref="A134:A143" si="70">"20150804"</f>
        <v>20150804</v>
      </c>
      <c r="B134" s="2" t="str">
        <f t="shared" ref="B134:B137" si="71">"600066"</f>
        <v>600066</v>
      </c>
      <c r="C134" s="2" t="str">
        <f t="shared" ref="C134:C137" si="72">"宇通客车"</f>
        <v>宇通客车</v>
      </c>
      <c r="D134" s="2" t="str">
        <f t="shared" ref="D134:D137" si="73">"担保品卖出"</f>
        <v>担保品卖出</v>
      </c>
      <c r="E134" s="2">
        <v>20.82</v>
      </c>
      <c r="F134" s="2">
        <v>500</v>
      </c>
      <c r="G134" s="2">
        <v>10410</v>
      </c>
      <c r="H134" s="2">
        <v>5</v>
      </c>
      <c r="I134" s="2">
        <v>4.28</v>
      </c>
      <c r="J134" s="2">
        <v>10.41</v>
      </c>
      <c r="K134" s="2">
        <v>0.21</v>
      </c>
      <c r="L134" s="2">
        <v>0</v>
      </c>
      <c r="M134" s="2">
        <v>0</v>
      </c>
      <c r="N134" s="2">
        <v>10394.38</v>
      </c>
      <c r="O134" s="2">
        <v>156754.96</v>
      </c>
      <c r="P134" s="2">
        <v>9500</v>
      </c>
      <c r="Q134" s="2" t="str">
        <f t="shared" ref="Q134:Q137" si="74">"E021635187"</f>
        <v>E021635187</v>
      </c>
      <c r="R134" s="2" t="str">
        <f t="shared" si="68"/>
        <v>人民币</v>
      </c>
      <c r="S134" s="2" t="str">
        <f>"1361000032"</f>
        <v>1361000032</v>
      </c>
    </row>
    <row r="135" spans="1:19">
      <c r="A135" s="2" t="str">
        <f t="shared" si="70"/>
        <v>20150804</v>
      </c>
      <c r="B135" s="2" t="str">
        <f t="shared" si="71"/>
        <v>600066</v>
      </c>
      <c r="C135" s="2" t="str">
        <f t="shared" si="72"/>
        <v>宇通客车</v>
      </c>
      <c r="D135" s="2" t="str">
        <f t="shared" si="73"/>
        <v>担保品卖出</v>
      </c>
      <c r="E135" s="2">
        <v>20.99</v>
      </c>
      <c r="F135" s="2">
        <v>500</v>
      </c>
      <c r="G135" s="2">
        <v>10495</v>
      </c>
      <c r="H135" s="2">
        <v>5</v>
      </c>
      <c r="I135" s="2">
        <v>4.28</v>
      </c>
      <c r="J135" s="2">
        <v>10.5</v>
      </c>
      <c r="K135" s="2">
        <v>0.21</v>
      </c>
      <c r="L135" s="2">
        <v>0</v>
      </c>
      <c r="M135" s="2">
        <v>0</v>
      </c>
      <c r="N135" s="2">
        <v>10479.29</v>
      </c>
      <c r="O135" s="2">
        <v>167234.25</v>
      </c>
      <c r="P135" s="2">
        <v>9000</v>
      </c>
      <c r="Q135" s="2" t="str">
        <f t="shared" si="74"/>
        <v>E021635187</v>
      </c>
      <c r="R135" s="2" t="str">
        <f t="shared" si="68"/>
        <v>人民币</v>
      </c>
      <c r="S135" s="2" t="str">
        <f>"1361000142"</f>
        <v>1361000142</v>
      </c>
    </row>
    <row r="136" spans="1:19">
      <c r="A136" s="2" t="str">
        <f t="shared" si="70"/>
        <v>20150804</v>
      </c>
      <c r="B136" s="2" t="str">
        <f t="shared" si="71"/>
        <v>600066</v>
      </c>
      <c r="C136" s="2" t="str">
        <f t="shared" si="72"/>
        <v>宇通客车</v>
      </c>
      <c r="D136" s="2" t="str">
        <f t="shared" si="73"/>
        <v>担保品卖出</v>
      </c>
      <c r="E136" s="2">
        <v>21.05</v>
      </c>
      <c r="F136" s="2">
        <v>500</v>
      </c>
      <c r="G136" s="2">
        <v>10525</v>
      </c>
      <c r="H136" s="2">
        <v>5</v>
      </c>
      <c r="I136" s="2">
        <v>4.28</v>
      </c>
      <c r="J136" s="2">
        <v>10.53</v>
      </c>
      <c r="K136" s="2">
        <v>0.21</v>
      </c>
      <c r="L136" s="2">
        <v>0</v>
      </c>
      <c r="M136" s="2">
        <v>0</v>
      </c>
      <c r="N136" s="2">
        <v>10509.26</v>
      </c>
      <c r="O136" s="2">
        <v>177743.51</v>
      </c>
      <c r="P136" s="2">
        <v>8500</v>
      </c>
      <c r="Q136" s="2" t="str">
        <f t="shared" si="74"/>
        <v>E021635187</v>
      </c>
      <c r="R136" s="2" t="str">
        <f t="shared" si="68"/>
        <v>人民币</v>
      </c>
      <c r="S136" s="2" t="str">
        <f>"1361000222"</f>
        <v>1361000222</v>
      </c>
    </row>
    <row r="137" spans="1:19">
      <c r="A137" s="2" t="str">
        <f t="shared" si="70"/>
        <v>20150804</v>
      </c>
      <c r="B137" s="2" t="str">
        <f t="shared" si="71"/>
        <v>600066</v>
      </c>
      <c r="C137" s="2" t="str">
        <f t="shared" si="72"/>
        <v>宇通客车</v>
      </c>
      <c r="D137" s="2" t="str">
        <f t="shared" si="73"/>
        <v>担保品卖出</v>
      </c>
      <c r="E137" s="2">
        <v>21.45</v>
      </c>
      <c r="F137" s="2">
        <v>500</v>
      </c>
      <c r="G137" s="2">
        <v>10725</v>
      </c>
      <c r="H137" s="2">
        <v>5</v>
      </c>
      <c r="I137" s="2">
        <v>4.27</v>
      </c>
      <c r="J137" s="2">
        <v>10.73</v>
      </c>
      <c r="K137" s="2">
        <v>0.21</v>
      </c>
      <c r="L137" s="2">
        <v>0</v>
      </c>
      <c r="M137" s="2">
        <v>0</v>
      </c>
      <c r="N137" s="2">
        <v>10709.06</v>
      </c>
      <c r="O137" s="2">
        <v>188452.57</v>
      </c>
      <c r="P137" s="2">
        <v>8000</v>
      </c>
      <c r="Q137" s="2" t="str">
        <f t="shared" si="74"/>
        <v>E021635187</v>
      </c>
      <c r="R137" s="2" t="str">
        <f t="shared" si="68"/>
        <v>人民币</v>
      </c>
      <c r="S137" s="2" t="str">
        <f>"1361000368"</f>
        <v>1361000368</v>
      </c>
    </row>
    <row r="138" spans="1:18">
      <c r="A138" s="2" t="str">
        <f t="shared" si="70"/>
        <v>20150804</v>
      </c>
      <c r="D138" s="2" t="str">
        <f t="shared" ref="D138:D142" si="75">"偿还融资负债本金"</f>
        <v>偿还融资负债本金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-10368.15</v>
      </c>
      <c r="O138" s="2">
        <v>178084.42</v>
      </c>
      <c r="P138" s="2">
        <v>0</v>
      </c>
      <c r="R138" s="2" t="str">
        <f t="shared" si="68"/>
        <v>人民币</v>
      </c>
    </row>
    <row r="139" spans="1:18">
      <c r="A139" s="2" t="str">
        <f t="shared" si="70"/>
        <v>20150804</v>
      </c>
      <c r="D139" s="2" t="str">
        <f t="shared" si="75"/>
        <v>偿还融资负债本金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-10452.8</v>
      </c>
      <c r="O139" s="2">
        <v>167631.62</v>
      </c>
      <c r="P139" s="2">
        <v>0</v>
      </c>
      <c r="R139" s="2" t="str">
        <f t="shared" si="68"/>
        <v>人民币</v>
      </c>
    </row>
    <row r="140" spans="1:18">
      <c r="A140" s="2" t="str">
        <f t="shared" si="70"/>
        <v>20150804</v>
      </c>
      <c r="D140" s="2" t="str">
        <f t="shared" si="75"/>
        <v>偿还融资负债本金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-10482.68</v>
      </c>
      <c r="O140" s="2">
        <v>157148.94</v>
      </c>
      <c r="P140" s="2">
        <v>0</v>
      </c>
      <c r="R140" s="2" t="str">
        <f t="shared" si="68"/>
        <v>人民币</v>
      </c>
    </row>
    <row r="141" spans="1:18">
      <c r="A141" s="2" t="str">
        <f t="shared" si="70"/>
        <v>20150804</v>
      </c>
      <c r="D141" s="2" t="str">
        <f t="shared" si="75"/>
        <v>偿还融资负债本金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-7828.17</v>
      </c>
      <c r="O141" s="2">
        <v>149320.77</v>
      </c>
      <c r="P141" s="2">
        <v>0</v>
      </c>
      <c r="R141" s="2" t="str">
        <f t="shared" si="68"/>
        <v>人民币</v>
      </c>
    </row>
    <row r="142" spans="1:18">
      <c r="A142" s="2" t="str">
        <f t="shared" si="70"/>
        <v>20150804</v>
      </c>
      <c r="D142" s="2" t="str">
        <f t="shared" si="75"/>
        <v>偿还融资负债本金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-2853.71</v>
      </c>
      <c r="O142" s="2">
        <v>146467.06</v>
      </c>
      <c r="P142" s="2">
        <v>0</v>
      </c>
      <c r="R142" s="2" t="str">
        <f t="shared" si="68"/>
        <v>人民币</v>
      </c>
    </row>
    <row r="143" spans="1:18">
      <c r="A143" s="2" t="str">
        <f t="shared" si="70"/>
        <v>20150804</v>
      </c>
      <c r="D143" s="2" t="str">
        <f>"偿还融资利息"</f>
        <v>偿还融资利息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-109.15</v>
      </c>
      <c r="O143" s="2">
        <v>146357.91</v>
      </c>
      <c r="P143" s="2">
        <v>0</v>
      </c>
      <c r="R143" s="2" t="str">
        <f t="shared" si="68"/>
        <v>人民币</v>
      </c>
    </row>
    <row r="144" spans="1:18">
      <c r="A144" s="2" t="str">
        <f t="shared" ref="A144:A158" si="76">"20150805"</f>
        <v>20150805</v>
      </c>
      <c r="D144" s="2" t="str">
        <f>"证券转银行"</f>
        <v>证券转银行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-5000</v>
      </c>
      <c r="O144" s="2">
        <v>141357.91</v>
      </c>
      <c r="P144" s="2">
        <v>0</v>
      </c>
      <c r="R144" s="2" t="str">
        <f t="shared" si="68"/>
        <v>人民币</v>
      </c>
    </row>
    <row r="145" spans="1:19">
      <c r="A145" s="2" t="str">
        <f t="shared" si="76"/>
        <v>20150805</v>
      </c>
      <c r="B145" s="2" t="str">
        <f t="shared" ref="B145:B149" si="77">"600066"</f>
        <v>600066</v>
      </c>
      <c r="C145" s="2" t="str">
        <f t="shared" ref="C145:C149" si="78">"宇通客车"</f>
        <v>宇通客车</v>
      </c>
      <c r="D145" s="2" t="str">
        <f t="shared" ref="D145:D147" si="79">"担保品卖出"</f>
        <v>担保品卖出</v>
      </c>
      <c r="E145" s="2">
        <v>21.14</v>
      </c>
      <c r="F145" s="2">
        <v>3000</v>
      </c>
      <c r="G145" s="2">
        <v>63420</v>
      </c>
      <c r="H145" s="2">
        <v>19.66</v>
      </c>
      <c r="I145" s="2">
        <v>15.31</v>
      </c>
      <c r="J145" s="2">
        <v>63.42</v>
      </c>
      <c r="K145" s="2">
        <v>1.27</v>
      </c>
      <c r="L145" s="2">
        <v>0</v>
      </c>
      <c r="M145" s="2">
        <v>0</v>
      </c>
      <c r="N145" s="2">
        <v>63335.65</v>
      </c>
      <c r="O145" s="2">
        <v>204693.56</v>
      </c>
      <c r="P145" s="2">
        <v>5000</v>
      </c>
      <c r="Q145" s="2" t="str">
        <f t="shared" ref="Q145:Q149" si="80">"E021635187"</f>
        <v>E021635187</v>
      </c>
      <c r="R145" s="2" t="str">
        <f t="shared" si="68"/>
        <v>人民币</v>
      </c>
      <c r="S145" s="2" t="str">
        <f>"1361000200"</f>
        <v>1361000200</v>
      </c>
    </row>
    <row r="146" spans="1:19">
      <c r="A146" s="2" t="str">
        <f t="shared" si="76"/>
        <v>20150805</v>
      </c>
      <c r="B146" s="2" t="str">
        <f t="shared" si="77"/>
        <v>600066</v>
      </c>
      <c r="C146" s="2" t="str">
        <f t="shared" si="78"/>
        <v>宇通客车</v>
      </c>
      <c r="D146" s="2" t="str">
        <f t="shared" si="79"/>
        <v>担保品卖出</v>
      </c>
      <c r="E146" s="2">
        <v>21.55</v>
      </c>
      <c r="F146" s="2">
        <v>500</v>
      </c>
      <c r="G146" s="2">
        <v>10775</v>
      </c>
      <c r="H146" s="2">
        <v>5</v>
      </c>
      <c r="I146" s="2">
        <v>4.26</v>
      </c>
      <c r="J146" s="2">
        <v>10.78</v>
      </c>
      <c r="K146" s="2">
        <v>0.22</v>
      </c>
      <c r="L146" s="2">
        <v>0</v>
      </c>
      <c r="M146" s="2">
        <v>0</v>
      </c>
      <c r="N146" s="2">
        <v>10759</v>
      </c>
      <c r="O146" s="2">
        <v>215452.56</v>
      </c>
      <c r="P146" s="2">
        <v>4500</v>
      </c>
      <c r="Q146" s="2" t="str">
        <f t="shared" si="80"/>
        <v>E021635187</v>
      </c>
      <c r="R146" s="2" t="str">
        <f t="shared" si="68"/>
        <v>人民币</v>
      </c>
      <c r="S146" s="2" t="str">
        <f>"1361000326"</f>
        <v>1361000326</v>
      </c>
    </row>
    <row r="147" spans="1:19">
      <c r="A147" s="2" t="str">
        <f t="shared" si="76"/>
        <v>20150805</v>
      </c>
      <c r="B147" s="2" t="str">
        <f t="shared" si="77"/>
        <v>600066</v>
      </c>
      <c r="C147" s="2" t="str">
        <f t="shared" si="78"/>
        <v>宇通客车</v>
      </c>
      <c r="D147" s="2" t="str">
        <f t="shared" si="79"/>
        <v>担保品卖出</v>
      </c>
      <c r="E147" s="2">
        <v>21.72</v>
      </c>
      <c r="F147" s="2">
        <v>500</v>
      </c>
      <c r="G147" s="2">
        <v>10860</v>
      </c>
      <c r="H147" s="2">
        <v>5</v>
      </c>
      <c r="I147" s="2">
        <v>4.25</v>
      </c>
      <c r="J147" s="2">
        <v>10.86</v>
      </c>
      <c r="K147" s="2">
        <v>0.22</v>
      </c>
      <c r="L147" s="2">
        <v>0</v>
      </c>
      <c r="M147" s="2">
        <v>0</v>
      </c>
      <c r="N147" s="2">
        <v>10843.92</v>
      </c>
      <c r="O147" s="2">
        <v>226296.48</v>
      </c>
      <c r="P147" s="2">
        <v>4000</v>
      </c>
      <c r="Q147" s="2" t="str">
        <f t="shared" si="80"/>
        <v>E021635187</v>
      </c>
      <c r="R147" s="2" t="str">
        <f t="shared" si="68"/>
        <v>人民币</v>
      </c>
      <c r="S147" s="2" t="str">
        <f>"1361000399"</f>
        <v>1361000399</v>
      </c>
    </row>
    <row r="148" spans="1:19">
      <c r="A148" s="2" t="str">
        <f t="shared" si="76"/>
        <v>20150805</v>
      </c>
      <c r="B148" s="2" t="str">
        <f t="shared" si="77"/>
        <v>600066</v>
      </c>
      <c r="C148" s="2" t="str">
        <f t="shared" si="78"/>
        <v>宇通客车</v>
      </c>
      <c r="D148" s="2" t="str">
        <f>"担保品买入"</f>
        <v>担保品买入</v>
      </c>
      <c r="E148" s="2">
        <v>21.36</v>
      </c>
      <c r="F148" s="2">
        <v>500</v>
      </c>
      <c r="G148" s="2">
        <v>10680</v>
      </c>
      <c r="H148" s="2">
        <v>5</v>
      </c>
      <c r="I148" s="2">
        <v>4.27</v>
      </c>
      <c r="J148" s="2">
        <v>0</v>
      </c>
      <c r="K148" s="2">
        <v>0.21</v>
      </c>
      <c r="L148" s="2">
        <v>0</v>
      </c>
      <c r="M148" s="2">
        <v>0</v>
      </c>
      <c r="N148" s="2">
        <v>-10685.21</v>
      </c>
      <c r="O148" s="2">
        <v>215611.27</v>
      </c>
      <c r="P148" s="2">
        <v>4500</v>
      </c>
      <c r="Q148" s="2" t="str">
        <f t="shared" si="80"/>
        <v>E021635187</v>
      </c>
      <c r="R148" s="2" t="str">
        <f t="shared" si="68"/>
        <v>人民币</v>
      </c>
      <c r="S148" s="2" t="str">
        <f>"1361000518"</f>
        <v>1361000518</v>
      </c>
    </row>
    <row r="149" spans="1:19">
      <c r="A149" s="2" t="str">
        <f t="shared" si="76"/>
        <v>20150805</v>
      </c>
      <c r="B149" s="2" t="str">
        <f t="shared" si="77"/>
        <v>600066</v>
      </c>
      <c r="C149" s="2" t="str">
        <f t="shared" si="78"/>
        <v>宇通客车</v>
      </c>
      <c r="D149" s="2" t="str">
        <f>"担保品买入"</f>
        <v>担保品买入</v>
      </c>
      <c r="E149" s="2">
        <v>20.98</v>
      </c>
      <c r="F149" s="2">
        <v>500</v>
      </c>
      <c r="G149" s="2">
        <v>10490</v>
      </c>
      <c r="H149" s="2">
        <v>5</v>
      </c>
      <c r="I149" s="2">
        <v>4.28</v>
      </c>
      <c r="J149" s="2">
        <v>0</v>
      </c>
      <c r="K149" s="2">
        <v>0.21</v>
      </c>
      <c r="L149" s="2">
        <v>0</v>
      </c>
      <c r="M149" s="2">
        <v>0</v>
      </c>
      <c r="N149" s="2">
        <v>-10495.21</v>
      </c>
      <c r="O149" s="2">
        <v>205116.06</v>
      </c>
      <c r="P149" s="2">
        <v>5000</v>
      </c>
      <c r="Q149" s="2" t="str">
        <f t="shared" si="80"/>
        <v>E021635187</v>
      </c>
      <c r="R149" s="2" t="str">
        <f t="shared" si="68"/>
        <v>人民币</v>
      </c>
      <c r="S149" s="2" t="str">
        <f>"1361000693"</f>
        <v>1361000693</v>
      </c>
    </row>
    <row r="150" spans="1:18">
      <c r="A150" s="2" t="str">
        <f t="shared" si="76"/>
        <v>20150805</v>
      </c>
      <c r="D150" s="2" t="str">
        <f>"偿还融资利息"</f>
        <v>偿还融资利息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-39.93</v>
      </c>
      <c r="O150" s="2">
        <v>205076.13</v>
      </c>
      <c r="P150" s="2">
        <v>0</v>
      </c>
      <c r="R150" s="2" t="str">
        <f t="shared" si="68"/>
        <v>人民币</v>
      </c>
    </row>
    <row r="151" spans="1:18">
      <c r="A151" s="2" t="str">
        <f t="shared" si="76"/>
        <v>20150805</v>
      </c>
      <c r="D151" s="2" t="str">
        <f>"偿还融资利息"</f>
        <v>偿还融资利息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-27.38</v>
      </c>
      <c r="O151" s="2">
        <v>205048.75</v>
      </c>
      <c r="P151" s="2">
        <v>0</v>
      </c>
      <c r="R151" s="2" t="str">
        <f t="shared" si="68"/>
        <v>人民币</v>
      </c>
    </row>
    <row r="152" spans="1:18">
      <c r="A152" s="2" t="str">
        <f t="shared" si="76"/>
        <v>20150805</v>
      </c>
      <c r="D152" s="2" t="str">
        <f t="shared" ref="D152:D158" si="81">"偿还融资负债本金"</f>
        <v>偿还融资负债本金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-16588.25</v>
      </c>
      <c r="O152" s="2">
        <v>188460.5</v>
      </c>
      <c r="P152" s="2">
        <v>0</v>
      </c>
      <c r="R152" s="2" t="str">
        <f t="shared" si="68"/>
        <v>人民币</v>
      </c>
    </row>
    <row r="153" spans="1:18">
      <c r="A153" s="2" t="str">
        <f t="shared" si="76"/>
        <v>20150805</v>
      </c>
      <c r="D153" s="2" t="str">
        <f t="shared" si="81"/>
        <v>偿还融资负债本金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-21310.78</v>
      </c>
      <c r="O153" s="2">
        <v>167149.72</v>
      </c>
      <c r="P153" s="2">
        <v>0</v>
      </c>
      <c r="R153" s="2" t="str">
        <f t="shared" si="68"/>
        <v>人民币</v>
      </c>
    </row>
    <row r="154" spans="1:18">
      <c r="A154" s="2" t="str">
        <f t="shared" si="76"/>
        <v>20150805</v>
      </c>
      <c r="D154" s="2" t="str">
        <f t="shared" si="81"/>
        <v>偿还融资负债本金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-4210.99</v>
      </c>
      <c r="O154" s="2">
        <v>162938.73</v>
      </c>
      <c r="P154" s="2">
        <v>0</v>
      </c>
      <c r="R154" s="2" t="str">
        <f t="shared" si="68"/>
        <v>人民币</v>
      </c>
    </row>
    <row r="155" spans="1:18">
      <c r="A155" s="2" t="str">
        <f t="shared" si="76"/>
        <v>20150805</v>
      </c>
      <c r="D155" s="2" t="str">
        <f t="shared" si="81"/>
        <v>偿还融资负债本金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-18949.52</v>
      </c>
      <c r="O155" s="2">
        <v>143989.21</v>
      </c>
      <c r="P155" s="2">
        <v>0</v>
      </c>
      <c r="R155" s="2" t="str">
        <f t="shared" si="68"/>
        <v>人民币</v>
      </c>
    </row>
    <row r="156" spans="1:18">
      <c r="A156" s="2" t="str">
        <f t="shared" si="76"/>
        <v>20150805</v>
      </c>
      <c r="D156" s="2" t="str">
        <f t="shared" si="81"/>
        <v>偿还融资负债本金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-10731.67</v>
      </c>
      <c r="O156" s="2">
        <v>133257.54</v>
      </c>
      <c r="P156" s="2">
        <v>0</v>
      </c>
      <c r="R156" s="2" t="str">
        <f t="shared" si="68"/>
        <v>人民币</v>
      </c>
    </row>
    <row r="157" spans="1:18">
      <c r="A157" s="2" t="str">
        <f t="shared" si="76"/>
        <v>20150805</v>
      </c>
      <c r="D157" s="2" t="str">
        <f t="shared" si="81"/>
        <v>偿还融资负债本金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-1707.56</v>
      </c>
      <c r="O157" s="2">
        <v>131549.98</v>
      </c>
      <c r="P157" s="2">
        <v>0</v>
      </c>
      <c r="R157" s="2" t="str">
        <f t="shared" si="68"/>
        <v>人民币</v>
      </c>
    </row>
    <row r="158" spans="1:18">
      <c r="A158" s="2" t="str">
        <f t="shared" si="76"/>
        <v>20150805</v>
      </c>
      <c r="D158" s="2" t="str">
        <f t="shared" si="81"/>
        <v>偿还融资负债本金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-2105.51</v>
      </c>
      <c r="O158" s="2">
        <v>129444.47</v>
      </c>
      <c r="P158" s="2">
        <v>0</v>
      </c>
      <c r="R158" s="2" t="str">
        <f t="shared" si="68"/>
        <v>人民币</v>
      </c>
    </row>
    <row r="159" spans="1:19">
      <c r="A159" s="2" t="str">
        <f t="shared" ref="A159:A165" si="82">"20150806"</f>
        <v>20150806</v>
      </c>
      <c r="B159" s="2" t="str">
        <f t="shared" ref="B159:B161" si="83">"600066"</f>
        <v>600066</v>
      </c>
      <c r="C159" s="2" t="str">
        <f t="shared" ref="C159:C161" si="84">"宇通客车"</f>
        <v>宇通客车</v>
      </c>
      <c r="D159" s="2" t="str">
        <f>"融资买入"</f>
        <v>融资买入</v>
      </c>
      <c r="E159" s="2">
        <v>21.64</v>
      </c>
      <c r="F159" s="2">
        <v>1000</v>
      </c>
      <c r="G159" s="2">
        <v>21640</v>
      </c>
      <c r="H159" s="2">
        <v>23.8</v>
      </c>
      <c r="I159" s="2">
        <v>22.3</v>
      </c>
      <c r="J159" s="2">
        <v>0</v>
      </c>
      <c r="K159" s="2">
        <v>0.43</v>
      </c>
      <c r="L159" s="2">
        <v>0</v>
      </c>
      <c r="M159" s="2">
        <v>0</v>
      </c>
      <c r="N159" s="2">
        <v>-21664.23</v>
      </c>
      <c r="O159" s="2">
        <v>107780.24</v>
      </c>
      <c r="P159" s="2">
        <v>6000</v>
      </c>
      <c r="Q159" s="2" t="str">
        <f t="shared" ref="Q159:Q162" si="85">"E021635187"</f>
        <v>E021635187</v>
      </c>
      <c r="R159" s="2" t="str">
        <f t="shared" si="68"/>
        <v>人民币</v>
      </c>
      <c r="S159" s="2" t="str">
        <f>"1361000163"</f>
        <v>1361000163</v>
      </c>
    </row>
    <row r="160" spans="1:19">
      <c r="A160" s="2" t="str">
        <f t="shared" si="82"/>
        <v>20150806</v>
      </c>
      <c r="B160" s="2" t="str">
        <f t="shared" si="83"/>
        <v>600066</v>
      </c>
      <c r="C160" s="2" t="str">
        <f t="shared" si="84"/>
        <v>宇通客车</v>
      </c>
      <c r="D160" s="2" t="str">
        <f>"担保品卖出"</f>
        <v>担保品卖出</v>
      </c>
      <c r="E160" s="2">
        <v>21.8</v>
      </c>
      <c r="F160" s="2">
        <v>1000</v>
      </c>
      <c r="G160" s="2">
        <v>21800</v>
      </c>
      <c r="H160" s="2">
        <v>6.76</v>
      </c>
      <c r="I160" s="2">
        <v>5.26</v>
      </c>
      <c r="J160" s="2">
        <v>21.8</v>
      </c>
      <c r="K160" s="2">
        <v>0.44</v>
      </c>
      <c r="L160" s="2">
        <v>0</v>
      </c>
      <c r="M160" s="2">
        <v>0</v>
      </c>
      <c r="N160" s="2">
        <v>21771</v>
      </c>
      <c r="O160" s="2">
        <v>129551.24</v>
      </c>
      <c r="P160" s="2">
        <v>5000</v>
      </c>
      <c r="Q160" s="2" t="str">
        <f t="shared" si="85"/>
        <v>E021635187</v>
      </c>
      <c r="R160" s="2" t="str">
        <f t="shared" si="68"/>
        <v>人民币</v>
      </c>
      <c r="S160" s="2" t="str">
        <f>"1361000176"</f>
        <v>1361000176</v>
      </c>
    </row>
    <row r="161" spans="1:19">
      <c r="A161" s="2" t="str">
        <f t="shared" si="82"/>
        <v>20150806</v>
      </c>
      <c r="B161" s="2" t="str">
        <f t="shared" si="83"/>
        <v>600066</v>
      </c>
      <c r="C161" s="2" t="str">
        <f t="shared" si="84"/>
        <v>宇通客车</v>
      </c>
      <c r="D161" s="2" t="str">
        <f>"担保品卖出"</f>
        <v>担保品卖出</v>
      </c>
      <c r="E161" s="2">
        <v>22.3</v>
      </c>
      <c r="F161" s="2">
        <v>500</v>
      </c>
      <c r="G161" s="2">
        <v>11150</v>
      </c>
      <c r="H161" s="2">
        <v>5</v>
      </c>
      <c r="I161" s="2">
        <v>4.23</v>
      </c>
      <c r="J161" s="2">
        <v>11.15</v>
      </c>
      <c r="K161" s="2">
        <v>0.22</v>
      </c>
      <c r="L161" s="2">
        <v>0</v>
      </c>
      <c r="M161" s="2">
        <v>0</v>
      </c>
      <c r="N161" s="2">
        <v>11133.63</v>
      </c>
      <c r="O161" s="2">
        <v>140684.87</v>
      </c>
      <c r="P161" s="2">
        <v>4500</v>
      </c>
      <c r="Q161" s="2" t="str">
        <f t="shared" si="85"/>
        <v>E021635187</v>
      </c>
      <c r="R161" s="2" t="str">
        <f t="shared" si="68"/>
        <v>人民币</v>
      </c>
      <c r="S161" s="2" t="str">
        <f>"1361000516"</f>
        <v>1361000516</v>
      </c>
    </row>
    <row r="162" spans="1:19">
      <c r="A162" s="2" t="str">
        <f t="shared" si="82"/>
        <v>20150806</v>
      </c>
      <c r="B162" s="2" t="str">
        <f>"600219"</f>
        <v>600219</v>
      </c>
      <c r="C162" s="2" t="str">
        <f>"南山铝业"</f>
        <v>南山铝业</v>
      </c>
      <c r="D162" s="2" t="str">
        <f>"融资买入"</f>
        <v>融资买入</v>
      </c>
      <c r="E162" s="2">
        <v>7.76</v>
      </c>
      <c r="F162" s="2">
        <v>1000</v>
      </c>
      <c r="G162" s="2">
        <v>7760</v>
      </c>
      <c r="H162" s="2">
        <v>8.54</v>
      </c>
      <c r="I162" s="2">
        <v>8</v>
      </c>
      <c r="J162" s="2">
        <v>0</v>
      </c>
      <c r="K162" s="2">
        <v>0.16</v>
      </c>
      <c r="L162" s="2">
        <v>0</v>
      </c>
      <c r="M162" s="2">
        <v>0</v>
      </c>
      <c r="N162" s="2">
        <v>-7768.7</v>
      </c>
      <c r="O162" s="2">
        <v>132916.17</v>
      </c>
      <c r="P162" s="2">
        <v>1000</v>
      </c>
      <c r="Q162" s="2" t="str">
        <f t="shared" si="85"/>
        <v>E021635187</v>
      </c>
      <c r="R162" s="2" t="str">
        <f t="shared" si="68"/>
        <v>人民币</v>
      </c>
      <c r="S162" s="2" t="str">
        <f>"1361000527"</f>
        <v>1361000527</v>
      </c>
    </row>
    <row r="163" spans="1:19">
      <c r="A163" s="2" t="str">
        <f t="shared" si="82"/>
        <v>20150806</v>
      </c>
      <c r="D163" s="2" t="str">
        <f>"融资借入"</f>
        <v>融资借入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21664.23</v>
      </c>
      <c r="O163" s="2">
        <v>154580.4</v>
      </c>
      <c r="P163" s="2">
        <v>0</v>
      </c>
      <c r="R163" s="2" t="str">
        <f t="shared" si="68"/>
        <v>人民币</v>
      </c>
      <c r="S163" s="2" t="str">
        <f>"1361000163"</f>
        <v>1361000163</v>
      </c>
    </row>
    <row r="164" spans="1:19">
      <c r="A164" s="2" t="str">
        <f t="shared" si="82"/>
        <v>20150806</v>
      </c>
      <c r="D164" s="2" t="str">
        <f>"融资借入"</f>
        <v>融资借入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7768.7</v>
      </c>
      <c r="O164" s="2">
        <v>162349.1</v>
      </c>
      <c r="P164" s="2">
        <v>0</v>
      </c>
      <c r="R164" s="2" t="str">
        <f t="shared" si="68"/>
        <v>人民币</v>
      </c>
      <c r="S164" s="2" t="str">
        <f>"1361000527"</f>
        <v>1361000527</v>
      </c>
    </row>
    <row r="165" spans="1:18">
      <c r="A165" s="2" t="str">
        <f t="shared" si="82"/>
        <v>20150806</v>
      </c>
      <c r="D165" s="2" t="str">
        <f>"偿还融资负债本金"</f>
        <v>偿还融资负债本金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-21664.23</v>
      </c>
      <c r="O165" s="2">
        <v>140684.87</v>
      </c>
      <c r="P165" s="2">
        <v>0</v>
      </c>
      <c r="R165" s="2" t="str">
        <f t="shared" si="68"/>
        <v>人民币</v>
      </c>
    </row>
    <row r="166" spans="1:19">
      <c r="A166" s="2" t="str">
        <f t="shared" ref="A166:A177" si="86">"20150807"</f>
        <v>20150807</v>
      </c>
      <c r="B166" s="2" t="str">
        <f t="shared" ref="B166:B169" si="87">"600066"</f>
        <v>600066</v>
      </c>
      <c r="C166" s="2" t="str">
        <f t="shared" ref="C166:C169" si="88">"宇通客车"</f>
        <v>宇通客车</v>
      </c>
      <c r="D166" s="2" t="str">
        <f>"融资买入"</f>
        <v>融资买入</v>
      </c>
      <c r="E166" s="2">
        <v>22.16</v>
      </c>
      <c r="F166" s="2">
        <v>1000</v>
      </c>
      <c r="G166" s="2">
        <v>22160</v>
      </c>
      <c r="H166" s="2">
        <v>24.38</v>
      </c>
      <c r="I166" s="2">
        <v>22.86</v>
      </c>
      <c r="J166" s="2">
        <v>0</v>
      </c>
      <c r="K166" s="2">
        <v>0.44</v>
      </c>
      <c r="L166" s="2">
        <v>0</v>
      </c>
      <c r="M166" s="2">
        <v>0</v>
      </c>
      <c r="N166" s="2">
        <v>-22184.82</v>
      </c>
      <c r="O166" s="2">
        <v>118500.05</v>
      </c>
      <c r="P166" s="2">
        <v>5500</v>
      </c>
      <c r="Q166" s="2" t="str">
        <f t="shared" ref="Q166:Q169" si="89">"E021635187"</f>
        <v>E021635187</v>
      </c>
      <c r="R166" s="2" t="str">
        <f t="shared" si="68"/>
        <v>人民币</v>
      </c>
      <c r="S166" s="2" t="str">
        <f>"1361000046"</f>
        <v>1361000046</v>
      </c>
    </row>
    <row r="167" spans="1:19">
      <c r="A167" s="2" t="str">
        <f t="shared" si="86"/>
        <v>20150807</v>
      </c>
      <c r="B167" s="2" t="str">
        <f>"600219"</f>
        <v>600219</v>
      </c>
      <c r="C167" s="2" t="str">
        <f>"南山铝业"</f>
        <v>南山铝业</v>
      </c>
      <c r="D167" s="2" t="str">
        <f>"担保品卖出"</f>
        <v>担保品卖出</v>
      </c>
      <c r="E167" s="2">
        <v>7.87</v>
      </c>
      <c r="F167" s="2">
        <v>1000</v>
      </c>
      <c r="G167" s="2">
        <v>7870</v>
      </c>
      <c r="H167" s="2">
        <v>5</v>
      </c>
      <c r="I167" s="2">
        <v>4.46</v>
      </c>
      <c r="J167" s="2">
        <v>7.87</v>
      </c>
      <c r="K167" s="2">
        <v>0.16</v>
      </c>
      <c r="L167" s="2">
        <v>0</v>
      </c>
      <c r="M167" s="2">
        <v>0</v>
      </c>
      <c r="N167" s="2">
        <v>7856.97</v>
      </c>
      <c r="O167" s="2">
        <v>126357.02</v>
      </c>
      <c r="P167" s="2">
        <v>0</v>
      </c>
      <c r="Q167" s="2" t="str">
        <f t="shared" si="89"/>
        <v>E021635187</v>
      </c>
      <c r="R167" s="2" t="str">
        <f t="shared" si="68"/>
        <v>人民币</v>
      </c>
      <c r="S167" s="2" t="str">
        <f>"1361000142"</f>
        <v>1361000142</v>
      </c>
    </row>
    <row r="168" spans="1:19">
      <c r="A168" s="2" t="str">
        <f t="shared" si="86"/>
        <v>20150807</v>
      </c>
      <c r="B168" s="2" t="str">
        <f t="shared" si="87"/>
        <v>600066</v>
      </c>
      <c r="C168" s="2" t="str">
        <f t="shared" si="88"/>
        <v>宇通客车</v>
      </c>
      <c r="D168" s="2" t="str">
        <f>"融资买入"</f>
        <v>融资买入</v>
      </c>
      <c r="E168" s="2">
        <v>21.79</v>
      </c>
      <c r="F168" s="2">
        <v>1000</v>
      </c>
      <c r="G168" s="2">
        <v>21790</v>
      </c>
      <c r="H168" s="2">
        <v>23.97</v>
      </c>
      <c r="I168" s="2">
        <v>22.47</v>
      </c>
      <c r="J168" s="2">
        <v>0</v>
      </c>
      <c r="K168" s="2">
        <v>0.44</v>
      </c>
      <c r="L168" s="2">
        <v>0</v>
      </c>
      <c r="M168" s="2">
        <v>0</v>
      </c>
      <c r="N168" s="2">
        <v>-21814.41</v>
      </c>
      <c r="O168" s="2">
        <v>104542.61</v>
      </c>
      <c r="P168" s="2">
        <v>6500</v>
      </c>
      <c r="Q168" s="2" t="str">
        <f t="shared" si="89"/>
        <v>E021635187</v>
      </c>
      <c r="R168" s="2" t="str">
        <f t="shared" si="68"/>
        <v>人民币</v>
      </c>
      <c r="S168" s="2" t="str">
        <f>"1361000238"</f>
        <v>1361000238</v>
      </c>
    </row>
    <row r="169" spans="1:19">
      <c r="A169" s="2" t="str">
        <f t="shared" si="86"/>
        <v>20150807</v>
      </c>
      <c r="B169" s="2" t="str">
        <f t="shared" si="87"/>
        <v>600066</v>
      </c>
      <c r="C169" s="2" t="str">
        <f t="shared" si="88"/>
        <v>宇通客车</v>
      </c>
      <c r="D169" s="2" t="str">
        <f>"担保品卖出"</f>
        <v>担保品卖出</v>
      </c>
      <c r="E169" s="2">
        <v>21.9</v>
      </c>
      <c r="F169" s="2">
        <v>4500</v>
      </c>
      <c r="G169" s="2">
        <v>98550</v>
      </c>
      <c r="H169" s="2">
        <v>30.55</v>
      </c>
      <c r="I169" s="2">
        <v>23.78</v>
      </c>
      <c r="J169" s="2">
        <v>98.55</v>
      </c>
      <c r="K169" s="2">
        <v>1.97</v>
      </c>
      <c r="L169" s="2">
        <v>0</v>
      </c>
      <c r="M169" s="2">
        <v>0</v>
      </c>
      <c r="N169" s="2">
        <v>98418.93</v>
      </c>
      <c r="O169" s="2">
        <v>202961.54</v>
      </c>
      <c r="P169" s="2">
        <v>2000</v>
      </c>
      <c r="Q169" s="2" t="str">
        <f t="shared" si="89"/>
        <v>E021635187</v>
      </c>
      <c r="R169" s="2" t="str">
        <f t="shared" si="68"/>
        <v>人民币</v>
      </c>
      <c r="S169" s="2" t="str">
        <f>"1361000505"</f>
        <v>1361000505</v>
      </c>
    </row>
    <row r="170" spans="1:19">
      <c r="A170" s="2" t="str">
        <f t="shared" si="86"/>
        <v>20150807</v>
      </c>
      <c r="D170" s="2" t="str">
        <f>"融资借入"</f>
        <v>融资借入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22184.82</v>
      </c>
      <c r="O170" s="2">
        <v>225146.36</v>
      </c>
      <c r="P170" s="2">
        <v>0</v>
      </c>
      <c r="R170" s="2" t="str">
        <f t="shared" si="68"/>
        <v>人民币</v>
      </c>
      <c r="S170" s="2" t="str">
        <f>"1361000046"</f>
        <v>1361000046</v>
      </c>
    </row>
    <row r="171" spans="1:19">
      <c r="A171" s="2" t="str">
        <f t="shared" si="86"/>
        <v>20150807</v>
      </c>
      <c r="D171" s="2" t="str">
        <f>"融资借入"</f>
        <v>融资借入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21814.41</v>
      </c>
      <c r="O171" s="2">
        <v>246960.77</v>
      </c>
      <c r="P171" s="2">
        <v>0</v>
      </c>
      <c r="R171" s="2" t="str">
        <f t="shared" si="68"/>
        <v>人民币</v>
      </c>
      <c r="S171" s="2" t="str">
        <f>"1361000238"</f>
        <v>1361000238</v>
      </c>
    </row>
    <row r="172" spans="1:18">
      <c r="A172" s="2" t="str">
        <f t="shared" si="86"/>
        <v>20150807</v>
      </c>
      <c r="D172" s="2" t="str">
        <f t="shared" ref="D172:D176" si="90">"偿还融资负债本金"</f>
        <v>偿还融资负债本金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-7768.7</v>
      </c>
      <c r="O172" s="2">
        <v>239192.07</v>
      </c>
      <c r="P172" s="2">
        <v>0</v>
      </c>
      <c r="R172" s="2" t="str">
        <f t="shared" si="68"/>
        <v>人民币</v>
      </c>
    </row>
    <row r="173" spans="1:18">
      <c r="A173" s="2" t="str">
        <f t="shared" si="86"/>
        <v>20150807</v>
      </c>
      <c r="D173" s="2" t="str">
        <f t="shared" si="90"/>
        <v>偿还融资负债本金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-372.86</v>
      </c>
      <c r="O173" s="2">
        <v>238819.21</v>
      </c>
      <c r="P173" s="2">
        <v>0</v>
      </c>
      <c r="R173" s="2" t="str">
        <f t="shared" si="68"/>
        <v>人民币</v>
      </c>
    </row>
    <row r="174" spans="1:18">
      <c r="A174" s="2" t="str">
        <f t="shared" si="86"/>
        <v>20150807</v>
      </c>
      <c r="D174" s="2" t="str">
        <f t="shared" si="90"/>
        <v>偿还融资负债本金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-21811.96</v>
      </c>
      <c r="O174" s="2">
        <v>217007.25</v>
      </c>
      <c r="P174" s="2">
        <v>0</v>
      </c>
      <c r="R174" s="2" t="str">
        <f t="shared" si="68"/>
        <v>人民币</v>
      </c>
    </row>
    <row r="175" spans="1:18">
      <c r="A175" s="2" t="str">
        <f t="shared" si="86"/>
        <v>20150807</v>
      </c>
      <c r="D175" s="2" t="str">
        <f t="shared" si="90"/>
        <v>偿还融资负债本金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-21397</v>
      </c>
      <c r="O175" s="2">
        <v>195610.25</v>
      </c>
      <c r="P175" s="2">
        <v>0</v>
      </c>
      <c r="R175" s="2" t="str">
        <f t="shared" si="68"/>
        <v>人民币</v>
      </c>
    </row>
    <row r="176" spans="1:18">
      <c r="A176" s="2" t="str">
        <f t="shared" si="86"/>
        <v>20150807</v>
      </c>
      <c r="D176" s="2" t="str">
        <f t="shared" si="90"/>
        <v>偿还融资负债本金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-417.41</v>
      </c>
      <c r="O176" s="2">
        <v>195192.84</v>
      </c>
      <c r="P176" s="2">
        <v>0</v>
      </c>
      <c r="R176" s="2" t="str">
        <f t="shared" si="68"/>
        <v>人民币</v>
      </c>
    </row>
    <row r="177" spans="1:18">
      <c r="A177" s="2" t="str">
        <f t="shared" si="86"/>
        <v>20150807</v>
      </c>
      <c r="D177" s="2" t="str">
        <f>"偿还融资利息"</f>
        <v>偿还融资利息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-1.8</v>
      </c>
      <c r="O177" s="2">
        <v>195191.04</v>
      </c>
      <c r="P177" s="2">
        <v>0</v>
      </c>
      <c r="R177" s="2" t="str">
        <f t="shared" si="68"/>
        <v>人民币</v>
      </c>
    </row>
    <row r="178" spans="1:19">
      <c r="A178" s="2" t="str">
        <f>"20150810"</f>
        <v>20150810</v>
      </c>
      <c r="B178" s="2" t="str">
        <f>"600066"</f>
        <v>600066</v>
      </c>
      <c r="C178" s="2" t="str">
        <f>"宇通客车"</f>
        <v>宇通客车</v>
      </c>
      <c r="D178" s="2" t="str">
        <f>"融资买入"</f>
        <v>融资买入</v>
      </c>
      <c r="E178" s="2">
        <v>22.429</v>
      </c>
      <c r="F178" s="2">
        <v>2000</v>
      </c>
      <c r="G178" s="2">
        <v>44858</v>
      </c>
      <c r="H178" s="2">
        <v>49.34</v>
      </c>
      <c r="I178" s="2">
        <v>46.25</v>
      </c>
      <c r="J178" s="2">
        <v>0</v>
      </c>
      <c r="K178" s="2">
        <v>0.9</v>
      </c>
      <c r="L178" s="2">
        <v>0</v>
      </c>
      <c r="M178" s="2">
        <v>0</v>
      </c>
      <c r="N178" s="2">
        <v>-44908.24</v>
      </c>
      <c r="O178" s="2">
        <v>150282.8</v>
      </c>
      <c r="P178" s="2">
        <v>4000</v>
      </c>
      <c r="Q178" s="2" t="str">
        <f>"E021635187"</f>
        <v>E021635187</v>
      </c>
      <c r="R178" s="2" t="str">
        <f t="shared" si="68"/>
        <v>人民币</v>
      </c>
      <c r="S178" s="2" t="str">
        <f>"1361000720"</f>
        <v>1361000720</v>
      </c>
    </row>
    <row r="179" spans="1:19">
      <c r="A179" s="2" t="str">
        <f>"20150810"</f>
        <v>20150810</v>
      </c>
      <c r="D179" s="2" t="str">
        <f>"融资借入"</f>
        <v>融资借入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44908.24</v>
      </c>
      <c r="O179" s="2">
        <v>195191.04</v>
      </c>
      <c r="P179" s="2">
        <v>0</v>
      </c>
      <c r="R179" s="2" t="str">
        <f t="shared" si="68"/>
        <v>人民币</v>
      </c>
      <c r="S179" s="2" t="str">
        <f>"1361000720"</f>
        <v>1361000720</v>
      </c>
    </row>
    <row r="180" spans="1:18">
      <c r="A180" s="2" t="str">
        <f t="shared" ref="A180:A182" si="91">"20150812"</f>
        <v>20150812</v>
      </c>
      <c r="D180" s="2" t="str">
        <f>"证券转银行"</f>
        <v>证券转银行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-100000</v>
      </c>
      <c r="O180" s="2">
        <v>95191.04</v>
      </c>
      <c r="P180" s="2">
        <v>0</v>
      </c>
      <c r="R180" s="2" t="str">
        <f t="shared" si="68"/>
        <v>人民币</v>
      </c>
    </row>
    <row r="181" spans="1:18">
      <c r="A181" s="2" t="str">
        <f t="shared" si="91"/>
        <v>20150812</v>
      </c>
      <c r="D181" s="2" t="str">
        <f>"偿还融资负债本金"</f>
        <v>偿还融资负债本金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-44908.24</v>
      </c>
      <c r="O181" s="2">
        <v>50261.96</v>
      </c>
      <c r="P181" s="2">
        <v>0</v>
      </c>
      <c r="R181" s="2" t="str">
        <f t="shared" si="68"/>
        <v>人民币</v>
      </c>
    </row>
    <row r="182" spans="1:18">
      <c r="A182" s="2" t="str">
        <f t="shared" si="91"/>
        <v>20150812</v>
      </c>
      <c r="D182" s="2" t="str">
        <f>"偿还融资利息"</f>
        <v>偿还融资利息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-20.84</v>
      </c>
      <c r="O182" s="2">
        <v>95170.2</v>
      </c>
      <c r="P182" s="2">
        <v>0</v>
      </c>
      <c r="R182" s="2" t="str">
        <f t="shared" si="68"/>
        <v>人民币</v>
      </c>
    </row>
    <row r="183" spans="1:19">
      <c r="A183" s="2" t="str">
        <f>"20150814"</f>
        <v>20150814</v>
      </c>
      <c r="B183" s="2" t="str">
        <f t="shared" ref="B183:B187" si="92">"600066"</f>
        <v>600066</v>
      </c>
      <c r="C183" s="2" t="str">
        <f t="shared" ref="C183:C187" si="93">"宇通客车"</f>
        <v>宇通客车</v>
      </c>
      <c r="D183" s="2" t="str">
        <f t="shared" ref="D183:D188" si="94">"担保品买入"</f>
        <v>担保品买入</v>
      </c>
      <c r="E183" s="2">
        <v>21.23</v>
      </c>
      <c r="F183" s="2">
        <v>1000</v>
      </c>
      <c r="G183" s="2">
        <v>21230</v>
      </c>
      <c r="H183" s="2">
        <v>6.58</v>
      </c>
      <c r="I183" s="2">
        <v>5.13</v>
      </c>
      <c r="J183" s="2">
        <v>0</v>
      </c>
      <c r="K183" s="2">
        <v>0.42</v>
      </c>
      <c r="L183" s="2">
        <v>0</v>
      </c>
      <c r="M183" s="2">
        <v>0</v>
      </c>
      <c r="N183" s="2">
        <v>-21237</v>
      </c>
      <c r="O183" s="2">
        <v>29024.96</v>
      </c>
      <c r="P183" s="2">
        <v>5000</v>
      </c>
      <c r="Q183" s="2" t="str">
        <f t="shared" ref="Q183:Q190" si="95">"E021635187"</f>
        <v>E021635187</v>
      </c>
      <c r="R183" s="2" t="str">
        <f t="shared" si="68"/>
        <v>人民币</v>
      </c>
      <c r="S183" s="2" t="str">
        <f>"1361001038"</f>
        <v>1361001038</v>
      </c>
    </row>
    <row r="184" spans="1:19">
      <c r="A184" s="2" t="str">
        <f>"20150817"</f>
        <v>20150817</v>
      </c>
      <c r="B184" s="2" t="str">
        <f t="shared" si="92"/>
        <v>600066</v>
      </c>
      <c r="C184" s="2" t="str">
        <f t="shared" si="93"/>
        <v>宇通客车</v>
      </c>
      <c r="D184" s="2" t="str">
        <f t="shared" ref="D184:D187" si="96">"担保品卖出"</f>
        <v>担保品卖出</v>
      </c>
      <c r="E184" s="2">
        <v>20.94</v>
      </c>
      <c r="F184" s="2">
        <v>2000</v>
      </c>
      <c r="G184" s="2">
        <v>41880</v>
      </c>
      <c r="H184" s="2">
        <v>12.98</v>
      </c>
      <c r="I184" s="2">
        <v>10.1</v>
      </c>
      <c r="J184" s="2">
        <v>41.88</v>
      </c>
      <c r="K184" s="2">
        <v>0.84</v>
      </c>
      <c r="L184" s="2">
        <v>0</v>
      </c>
      <c r="M184" s="2">
        <v>0</v>
      </c>
      <c r="N184" s="2">
        <v>41824.3</v>
      </c>
      <c r="O184" s="2">
        <v>70849.26</v>
      </c>
      <c r="P184" s="2">
        <v>3000</v>
      </c>
      <c r="Q184" s="2" t="str">
        <f t="shared" si="95"/>
        <v>E021635187</v>
      </c>
      <c r="R184" s="2" t="str">
        <f t="shared" si="68"/>
        <v>人民币</v>
      </c>
      <c r="S184" s="2" t="str">
        <f>"1361000378"</f>
        <v>1361000378</v>
      </c>
    </row>
    <row r="185" spans="1:19">
      <c r="A185" s="2" t="str">
        <f>"20150821"</f>
        <v>20150821</v>
      </c>
      <c r="B185" s="2" t="str">
        <f t="shared" si="92"/>
        <v>600066</v>
      </c>
      <c r="C185" s="2" t="str">
        <f t="shared" si="93"/>
        <v>宇通客车</v>
      </c>
      <c r="D185" s="2" t="str">
        <f t="shared" si="94"/>
        <v>担保品买入</v>
      </c>
      <c r="E185" s="2">
        <v>19.289</v>
      </c>
      <c r="F185" s="2">
        <v>1000</v>
      </c>
      <c r="G185" s="2">
        <v>19289</v>
      </c>
      <c r="H185" s="2">
        <v>5.98</v>
      </c>
      <c r="I185" s="2">
        <v>4.65</v>
      </c>
      <c r="J185" s="2">
        <v>0</v>
      </c>
      <c r="K185" s="2">
        <v>0.39</v>
      </c>
      <c r="L185" s="2">
        <v>0</v>
      </c>
      <c r="M185" s="2">
        <v>0</v>
      </c>
      <c r="N185" s="2">
        <v>-19295.37</v>
      </c>
      <c r="O185" s="2">
        <v>51553.89</v>
      </c>
      <c r="P185" s="2">
        <v>4000</v>
      </c>
      <c r="Q185" s="2" t="str">
        <f t="shared" si="95"/>
        <v>E021635187</v>
      </c>
      <c r="R185" s="2" t="str">
        <f t="shared" si="68"/>
        <v>人民币</v>
      </c>
      <c r="S185" s="2" t="str">
        <f>"1361000780"</f>
        <v>1361000780</v>
      </c>
    </row>
    <row r="186" spans="1:19">
      <c r="A186" s="2" t="str">
        <f>"20150825"</f>
        <v>20150825</v>
      </c>
      <c r="B186" s="2" t="str">
        <f t="shared" si="92"/>
        <v>600066</v>
      </c>
      <c r="C186" s="2" t="str">
        <f t="shared" si="93"/>
        <v>宇通客车</v>
      </c>
      <c r="D186" s="2" t="str">
        <f t="shared" si="96"/>
        <v>担保品卖出</v>
      </c>
      <c r="E186" s="2">
        <v>17.7</v>
      </c>
      <c r="F186" s="2">
        <v>1000</v>
      </c>
      <c r="G186" s="2">
        <v>17700</v>
      </c>
      <c r="H186" s="2">
        <v>5.49</v>
      </c>
      <c r="I186" s="2">
        <v>4.28</v>
      </c>
      <c r="J186" s="2">
        <v>17.7</v>
      </c>
      <c r="K186" s="2">
        <v>0.35</v>
      </c>
      <c r="L186" s="2">
        <v>0</v>
      </c>
      <c r="M186" s="2">
        <v>0</v>
      </c>
      <c r="N186" s="2">
        <v>17676.46</v>
      </c>
      <c r="O186" s="2">
        <v>69230.35</v>
      </c>
      <c r="P186" s="2">
        <v>3000</v>
      </c>
      <c r="Q186" s="2" t="str">
        <f t="shared" si="95"/>
        <v>E021635187</v>
      </c>
      <c r="R186" s="2" t="str">
        <f t="shared" si="68"/>
        <v>人民币</v>
      </c>
      <c r="S186" s="2" t="str">
        <f>"1361000323"</f>
        <v>1361000323</v>
      </c>
    </row>
    <row r="187" spans="1:19">
      <c r="A187" s="2" t="str">
        <f>"20150825"</f>
        <v>20150825</v>
      </c>
      <c r="B187" s="2" t="str">
        <f t="shared" si="92"/>
        <v>600066</v>
      </c>
      <c r="C187" s="2" t="str">
        <f t="shared" si="93"/>
        <v>宇通客车</v>
      </c>
      <c r="D187" s="2" t="str">
        <f t="shared" si="96"/>
        <v>担保品卖出</v>
      </c>
      <c r="E187" s="2">
        <v>17.49</v>
      </c>
      <c r="F187" s="2">
        <v>1000</v>
      </c>
      <c r="G187" s="2">
        <v>17490</v>
      </c>
      <c r="H187" s="2">
        <v>5.42</v>
      </c>
      <c r="I187" s="2">
        <v>4.22</v>
      </c>
      <c r="J187" s="2">
        <v>17.49</v>
      </c>
      <c r="K187" s="2">
        <v>0.35</v>
      </c>
      <c r="L187" s="2">
        <v>0</v>
      </c>
      <c r="M187" s="2">
        <v>0</v>
      </c>
      <c r="N187" s="2">
        <v>17466.74</v>
      </c>
      <c r="O187" s="2">
        <v>86697.09</v>
      </c>
      <c r="P187" s="2">
        <v>2000</v>
      </c>
      <c r="Q187" s="2" t="str">
        <f t="shared" si="95"/>
        <v>E021635187</v>
      </c>
      <c r="R187" s="2" t="str">
        <f t="shared" si="68"/>
        <v>人民币</v>
      </c>
      <c r="S187" s="2" t="str">
        <f>"1361000398"</f>
        <v>1361000398</v>
      </c>
    </row>
    <row r="188" spans="1:19">
      <c r="A188" s="2" t="str">
        <f>"20150827"</f>
        <v>20150827</v>
      </c>
      <c r="B188" s="2" t="str">
        <f>"510300"</f>
        <v>510300</v>
      </c>
      <c r="C188" s="2" t="str">
        <f>"300ETF"</f>
        <v>300ETF</v>
      </c>
      <c r="D188" s="2" t="str">
        <f t="shared" si="94"/>
        <v>担保品买入</v>
      </c>
      <c r="E188" s="2">
        <v>3.109</v>
      </c>
      <c r="F188" s="2">
        <v>2000</v>
      </c>
      <c r="G188" s="2">
        <v>6218</v>
      </c>
      <c r="H188" s="2">
        <v>5</v>
      </c>
      <c r="I188" s="2">
        <v>4.72</v>
      </c>
      <c r="J188" s="2">
        <v>0</v>
      </c>
      <c r="K188" s="2">
        <v>0</v>
      </c>
      <c r="L188" s="2">
        <v>0</v>
      </c>
      <c r="M188" s="2">
        <v>0</v>
      </c>
      <c r="N188" s="2">
        <v>-6223</v>
      </c>
      <c r="O188" s="2">
        <v>80474.09</v>
      </c>
      <c r="P188" s="2">
        <v>2000</v>
      </c>
      <c r="Q188" s="2" t="str">
        <f t="shared" si="95"/>
        <v>E021635187</v>
      </c>
      <c r="R188" s="2" t="str">
        <f t="shared" si="68"/>
        <v>人民币</v>
      </c>
      <c r="S188" s="2" t="str">
        <f>"1361000584"</f>
        <v>1361000584</v>
      </c>
    </row>
    <row r="189" spans="1:19">
      <c r="A189" s="2" t="str">
        <f>"20150828"</f>
        <v>20150828</v>
      </c>
      <c r="B189" s="2" t="str">
        <f>"510300"</f>
        <v>510300</v>
      </c>
      <c r="C189" s="2" t="str">
        <f>"300ETF"</f>
        <v>300ETF</v>
      </c>
      <c r="D189" s="2" t="str">
        <f t="shared" ref="D189:D196" si="97">"担保品卖出"</f>
        <v>担保品卖出</v>
      </c>
      <c r="E189" s="2">
        <v>3.275</v>
      </c>
      <c r="F189" s="2">
        <v>2000</v>
      </c>
      <c r="G189" s="2">
        <v>6550</v>
      </c>
      <c r="H189" s="2">
        <v>5</v>
      </c>
      <c r="I189" s="2">
        <v>4.71</v>
      </c>
      <c r="J189" s="2">
        <v>0</v>
      </c>
      <c r="K189" s="2">
        <v>0</v>
      </c>
      <c r="L189" s="2">
        <v>0</v>
      </c>
      <c r="M189" s="2">
        <v>0</v>
      </c>
      <c r="N189" s="2">
        <v>6545</v>
      </c>
      <c r="O189" s="2">
        <v>87019.09</v>
      </c>
      <c r="P189" s="2">
        <v>0</v>
      </c>
      <c r="Q189" s="2" t="str">
        <f t="shared" si="95"/>
        <v>E021635187</v>
      </c>
      <c r="R189" s="2" t="str">
        <f t="shared" si="68"/>
        <v>人民币</v>
      </c>
      <c r="S189" s="2" t="str">
        <f>"1361000290"</f>
        <v>1361000290</v>
      </c>
    </row>
    <row r="190" spans="1:19">
      <c r="A190" s="2" t="str">
        <f t="shared" ref="A190:A192" si="98">"20150902"</f>
        <v>20150902</v>
      </c>
      <c r="B190" s="2" t="str">
        <f>"600219"</f>
        <v>600219</v>
      </c>
      <c r="C190" s="2" t="str">
        <f>"南山铝业"</f>
        <v>南山铝业</v>
      </c>
      <c r="D190" s="2" t="str">
        <f t="shared" ref="D190:D192" si="99">"担保品买入"</f>
        <v>担保品买入</v>
      </c>
      <c r="E190" s="2">
        <v>6.18</v>
      </c>
      <c r="F190" s="2">
        <v>2000</v>
      </c>
      <c r="G190" s="2">
        <v>12360</v>
      </c>
      <c r="H190" s="2">
        <v>5</v>
      </c>
      <c r="I190" s="2">
        <v>4.15</v>
      </c>
      <c r="J190" s="2">
        <v>0</v>
      </c>
      <c r="K190" s="2">
        <v>0.25</v>
      </c>
      <c r="L190" s="2">
        <v>0</v>
      </c>
      <c r="M190" s="2">
        <v>0</v>
      </c>
      <c r="N190" s="2">
        <v>-12365.25</v>
      </c>
      <c r="O190" s="2">
        <v>74653.84</v>
      </c>
      <c r="P190" s="2">
        <v>2000</v>
      </c>
      <c r="Q190" s="2" t="str">
        <f t="shared" si="95"/>
        <v>E021635187</v>
      </c>
      <c r="R190" s="2" t="str">
        <f t="shared" si="68"/>
        <v>人民币</v>
      </c>
      <c r="S190" s="2" t="str">
        <f>"1361000139"</f>
        <v>1361000139</v>
      </c>
    </row>
    <row r="191" spans="1:19">
      <c r="A191" s="2" t="str">
        <f t="shared" si="98"/>
        <v>20150902</v>
      </c>
      <c r="B191" s="2" t="str">
        <f t="shared" ref="B191:B193" si="100">"002296"</f>
        <v>002296</v>
      </c>
      <c r="C191" s="2" t="str">
        <f t="shared" ref="C191:C193" si="101">"辉煌科技"</f>
        <v>辉煌科技</v>
      </c>
      <c r="D191" s="2" t="str">
        <f t="shared" si="99"/>
        <v>担保品买入</v>
      </c>
      <c r="E191" s="2">
        <v>12.987</v>
      </c>
      <c r="F191" s="2">
        <v>1000</v>
      </c>
      <c r="G191" s="2">
        <v>12987</v>
      </c>
      <c r="H191" s="2">
        <v>5</v>
      </c>
      <c r="I191" s="2">
        <v>3.85</v>
      </c>
      <c r="J191" s="2">
        <v>0</v>
      </c>
      <c r="K191" s="2">
        <v>0</v>
      </c>
      <c r="L191" s="2">
        <v>0</v>
      </c>
      <c r="M191" s="2">
        <v>0</v>
      </c>
      <c r="N191" s="2">
        <v>-12992</v>
      </c>
      <c r="O191" s="2">
        <v>61661.84</v>
      </c>
      <c r="P191" s="2">
        <v>1000</v>
      </c>
      <c r="Q191" s="2" t="str">
        <f t="shared" ref="Q191:Q193" si="102">"0602175409"</f>
        <v>0602175409</v>
      </c>
      <c r="R191" s="2" t="str">
        <f t="shared" si="68"/>
        <v>人民币</v>
      </c>
      <c r="S191" s="2" t="str">
        <f>"T4000173"</f>
        <v>T4000173</v>
      </c>
    </row>
    <row r="192" spans="1:19">
      <c r="A192" s="2" t="str">
        <f t="shared" si="98"/>
        <v>20150902</v>
      </c>
      <c r="B192" s="2" t="str">
        <f t="shared" si="100"/>
        <v>002296</v>
      </c>
      <c r="C192" s="2" t="str">
        <f t="shared" si="101"/>
        <v>辉煌科技</v>
      </c>
      <c r="D192" s="2" t="str">
        <f t="shared" si="99"/>
        <v>担保品买入</v>
      </c>
      <c r="E192" s="2">
        <v>12.83</v>
      </c>
      <c r="F192" s="2">
        <v>1000</v>
      </c>
      <c r="G192" s="2">
        <v>12830</v>
      </c>
      <c r="H192" s="2">
        <v>5</v>
      </c>
      <c r="I192" s="2">
        <v>3.85</v>
      </c>
      <c r="J192" s="2">
        <v>0</v>
      </c>
      <c r="K192" s="2">
        <v>0</v>
      </c>
      <c r="L192" s="2">
        <v>0</v>
      </c>
      <c r="M192" s="2">
        <v>0</v>
      </c>
      <c r="N192" s="2">
        <v>-12835</v>
      </c>
      <c r="O192" s="2">
        <v>48826.84</v>
      </c>
      <c r="P192" s="2">
        <v>2000</v>
      </c>
      <c r="Q192" s="2" t="str">
        <f t="shared" si="102"/>
        <v>0602175409</v>
      </c>
      <c r="R192" s="2" t="str">
        <f t="shared" si="68"/>
        <v>人民币</v>
      </c>
      <c r="S192" s="2" t="str">
        <f>"T4000706"</f>
        <v>T4000706</v>
      </c>
    </row>
    <row r="193" spans="1:19">
      <c r="A193" s="2" t="str">
        <f t="shared" ref="A193:A195" si="103">"20150907"</f>
        <v>20150907</v>
      </c>
      <c r="B193" s="2" t="str">
        <f t="shared" si="100"/>
        <v>002296</v>
      </c>
      <c r="C193" s="2" t="str">
        <f t="shared" si="101"/>
        <v>辉煌科技</v>
      </c>
      <c r="D193" s="2" t="str">
        <f t="shared" si="97"/>
        <v>担保品卖出</v>
      </c>
      <c r="E193" s="2">
        <v>13.61</v>
      </c>
      <c r="F193" s="2">
        <v>1000</v>
      </c>
      <c r="G193" s="2">
        <v>13610</v>
      </c>
      <c r="H193" s="2">
        <v>5</v>
      </c>
      <c r="I193" s="2">
        <v>3.78</v>
      </c>
      <c r="J193" s="2">
        <v>13.61</v>
      </c>
      <c r="K193" s="2">
        <v>0</v>
      </c>
      <c r="L193" s="2">
        <v>0</v>
      </c>
      <c r="M193" s="2">
        <v>0</v>
      </c>
      <c r="N193" s="2">
        <v>13591.39</v>
      </c>
      <c r="O193" s="2">
        <v>62418.23</v>
      </c>
      <c r="P193" s="2">
        <v>1000</v>
      </c>
      <c r="Q193" s="2" t="str">
        <f t="shared" si="102"/>
        <v>0602175409</v>
      </c>
      <c r="R193" s="2" t="str">
        <f t="shared" si="68"/>
        <v>人民币</v>
      </c>
      <c r="S193" s="2" t="str">
        <f>"T4000138"</f>
        <v>T4000138</v>
      </c>
    </row>
    <row r="194" spans="1:19">
      <c r="A194" s="2" t="str">
        <f t="shared" si="103"/>
        <v>20150907</v>
      </c>
      <c r="B194" s="2" t="str">
        <f>"600219"</f>
        <v>600219</v>
      </c>
      <c r="C194" s="2" t="str">
        <f>"南山铝业"</f>
        <v>南山铝业</v>
      </c>
      <c r="D194" s="2" t="str">
        <f t="shared" si="97"/>
        <v>担保品卖出</v>
      </c>
      <c r="E194" s="2">
        <v>6.55</v>
      </c>
      <c r="F194" s="2">
        <v>2000</v>
      </c>
      <c r="G194" s="2">
        <v>13100</v>
      </c>
      <c r="H194" s="2">
        <v>5</v>
      </c>
      <c r="I194" s="2">
        <v>4.1</v>
      </c>
      <c r="J194" s="2">
        <v>13.1</v>
      </c>
      <c r="K194" s="2">
        <v>0.26</v>
      </c>
      <c r="L194" s="2">
        <v>0</v>
      </c>
      <c r="M194" s="2">
        <v>0</v>
      </c>
      <c r="N194" s="2">
        <v>13081.64</v>
      </c>
      <c r="O194" s="2">
        <v>75499.87</v>
      </c>
      <c r="P194" s="2">
        <v>0</v>
      </c>
      <c r="Q194" s="2" t="str">
        <f t="shared" ref="Q194:Q197" si="104">"E021635187"</f>
        <v>E021635187</v>
      </c>
      <c r="R194" s="2" t="str">
        <f t="shared" ref="R194:R213" si="105">"人民币"</f>
        <v>人民币</v>
      </c>
      <c r="S194" s="2" t="str">
        <f>"1361000228"</f>
        <v>1361000228</v>
      </c>
    </row>
    <row r="195" spans="1:19">
      <c r="A195" s="2" t="str">
        <f t="shared" si="103"/>
        <v>20150907</v>
      </c>
      <c r="B195" s="2" t="str">
        <f>"002296"</f>
        <v>002296</v>
      </c>
      <c r="C195" s="2" t="str">
        <f>"辉煌科技"</f>
        <v>辉煌科技</v>
      </c>
      <c r="D195" s="2" t="str">
        <f t="shared" si="97"/>
        <v>担保品卖出</v>
      </c>
      <c r="E195" s="2">
        <v>13.57</v>
      </c>
      <c r="F195" s="2">
        <v>1000</v>
      </c>
      <c r="G195" s="2">
        <v>13570</v>
      </c>
      <c r="H195" s="2">
        <v>5</v>
      </c>
      <c r="I195" s="2">
        <v>3.8</v>
      </c>
      <c r="J195" s="2">
        <v>13.57</v>
      </c>
      <c r="K195" s="2">
        <v>0</v>
      </c>
      <c r="L195" s="2">
        <v>0</v>
      </c>
      <c r="M195" s="2">
        <v>0</v>
      </c>
      <c r="N195" s="2">
        <v>13551.43</v>
      </c>
      <c r="O195" s="2">
        <v>89051.3</v>
      </c>
      <c r="P195" s="2">
        <v>0</v>
      </c>
      <c r="Q195" s="2" t="str">
        <f>"0602175409"</f>
        <v>0602175409</v>
      </c>
      <c r="R195" s="2" t="str">
        <f t="shared" si="105"/>
        <v>人民币</v>
      </c>
      <c r="S195" s="2" t="str">
        <f>"T4000183"</f>
        <v>T4000183</v>
      </c>
    </row>
    <row r="196" spans="1:19">
      <c r="A196" s="2" t="str">
        <f t="shared" ref="A196:A198" si="106">"20150909"</f>
        <v>20150909</v>
      </c>
      <c r="B196" s="2" t="str">
        <f t="shared" ref="B196:B202" si="107">"600066"</f>
        <v>600066</v>
      </c>
      <c r="C196" s="2" t="str">
        <f t="shared" ref="C196:C202" si="108">"宇通客车"</f>
        <v>宇通客车</v>
      </c>
      <c r="D196" s="2" t="str">
        <f t="shared" si="97"/>
        <v>担保品卖出</v>
      </c>
      <c r="E196" s="2">
        <v>18.69</v>
      </c>
      <c r="F196" s="2">
        <v>1000</v>
      </c>
      <c r="G196" s="2">
        <v>18690</v>
      </c>
      <c r="H196" s="2">
        <v>5.79</v>
      </c>
      <c r="I196" s="2">
        <v>4.51</v>
      </c>
      <c r="J196" s="2">
        <v>18.69</v>
      </c>
      <c r="K196" s="2">
        <v>0.37</v>
      </c>
      <c r="L196" s="2">
        <v>0</v>
      </c>
      <c r="M196" s="2">
        <v>0</v>
      </c>
      <c r="N196" s="2">
        <v>18665.15</v>
      </c>
      <c r="O196" s="2">
        <v>107716.45</v>
      </c>
      <c r="P196" s="2">
        <v>1000</v>
      </c>
      <c r="Q196" s="2" t="str">
        <f t="shared" si="104"/>
        <v>E021635187</v>
      </c>
      <c r="R196" s="2" t="str">
        <f t="shared" si="105"/>
        <v>人民币</v>
      </c>
      <c r="S196" s="2" t="str">
        <f>"1361000215"</f>
        <v>1361000215</v>
      </c>
    </row>
    <row r="197" spans="1:19">
      <c r="A197" s="2" t="str">
        <f t="shared" si="106"/>
        <v>20150909</v>
      </c>
      <c r="B197" s="2" t="str">
        <f t="shared" si="107"/>
        <v>600066</v>
      </c>
      <c r="C197" s="2" t="str">
        <f t="shared" si="108"/>
        <v>宇通客车</v>
      </c>
      <c r="D197" s="2" t="str">
        <f>"融资买入"</f>
        <v>融资买入</v>
      </c>
      <c r="E197" s="2">
        <v>18.99</v>
      </c>
      <c r="F197" s="2">
        <v>3000</v>
      </c>
      <c r="G197" s="2">
        <v>56970</v>
      </c>
      <c r="H197" s="2">
        <v>62.67</v>
      </c>
      <c r="I197" s="2">
        <v>58.76</v>
      </c>
      <c r="J197" s="2">
        <v>0</v>
      </c>
      <c r="K197" s="2">
        <v>1.14</v>
      </c>
      <c r="L197" s="2">
        <v>0</v>
      </c>
      <c r="M197" s="2">
        <v>0</v>
      </c>
      <c r="N197" s="2">
        <v>-57033.81</v>
      </c>
      <c r="O197" s="2">
        <v>50682.64</v>
      </c>
      <c r="P197" s="2">
        <v>4000</v>
      </c>
      <c r="Q197" s="2" t="str">
        <f t="shared" si="104"/>
        <v>E021635187</v>
      </c>
      <c r="R197" s="2" t="str">
        <f t="shared" si="105"/>
        <v>人民币</v>
      </c>
      <c r="S197" s="2" t="str">
        <f>"1361000387"</f>
        <v>1361000387</v>
      </c>
    </row>
    <row r="198" spans="1:19">
      <c r="A198" s="2" t="str">
        <f t="shared" si="106"/>
        <v>20150909</v>
      </c>
      <c r="D198" s="2" t="str">
        <f>"融资借入"</f>
        <v>融资借入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57033.81</v>
      </c>
      <c r="O198" s="2">
        <v>107716.45</v>
      </c>
      <c r="P198" s="2">
        <v>0</v>
      </c>
      <c r="R198" s="2" t="str">
        <f t="shared" si="105"/>
        <v>人民币</v>
      </c>
      <c r="S198" s="2" t="str">
        <f>"1361000387"</f>
        <v>1361000387</v>
      </c>
    </row>
    <row r="199" spans="1:19">
      <c r="A199" s="2" t="str">
        <f>"20150911"</f>
        <v>20150911</v>
      </c>
      <c r="B199" s="2" t="str">
        <f>"601166"</f>
        <v>601166</v>
      </c>
      <c r="C199" s="2" t="str">
        <f>"兴业银行"</f>
        <v>兴业银行</v>
      </c>
      <c r="D199" s="2" t="str">
        <f>"担保品买入"</f>
        <v>担保品买入</v>
      </c>
      <c r="E199" s="2">
        <v>14.69</v>
      </c>
      <c r="F199" s="2">
        <v>1000</v>
      </c>
      <c r="G199" s="2">
        <v>14690</v>
      </c>
      <c r="H199" s="2">
        <v>5</v>
      </c>
      <c r="I199" s="2">
        <v>3.99</v>
      </c>
      <c r="J199" s="2">
        <v>0</v>
      </c>
      <c r="K199" s="2">
        <v>0.29</v>
      </c>
      <c r="L199" s="2">
        <v>0</v>
      </c>
      <c r="M199" s="2">
        <v>0</v>
      </c>
      <c r="N199" s="2">
        <v>-14695.29</v>
      </c>
      <c r="O199" s="2">
        <v>93021.16</v>
      </c>
      <c r="P199" s="2">
        <v>1000</v>
      </c>
      <c r="Q199" s="2" t="str">
        <f t="shared" ref="Q199:Q202" si="109">"E021635187"</f>
        <v>E021635187</v>
      </c>
      <c r="R199" s="2" t="str">
        <f t="shared" si="105"/>
        <v>人民币</v>
      </c>
      <c r="S199" s="2" t="str">
        <f>"1361000443"</f>
        <v>1361000443</v>
      </c>
    </row>
    <row r="200" spans="1:19">
      <c r="A200" s="2" t="str">
        <f>"20150914"</f>
        <v>20150914</v>
      </c>
      <c r="B200" s="2" t="str">
        <f>"601166"</f>
        <v>601166</v>
      </c>
      <c r="C200" s="2" t="str">
        <f>"兴业银行"</f>
        <v>兴业银行</v>
      </c>
      <c r="D200" s="2" t="str">
        <f>"担保品卖出"</f>
        <v>担保品卖出</v>
      </c>
      <c r="E200" s="2">
        <v>14.48</v>
      </c>
      <c r="F200" s="2">
        <v>1000</v>
      </c>
      <c r="G200" s="2">
        <v>14480</v>
      </c>
      <c r="H200" s="2">
        <v>5</v>
      </c>
      <c r="I200" s="2">
        <v>4</v>
      </c>
      <c r="J200" s="2">
        <v>14.48</v>
      </c>
      <c r="K200" s="2">
        <v>0.29</v>
      </c>
      <c r="L200" s="2">
        <v>0</v>
      </c>
      <c r="M200" s="2">
        <v>0</v>
      </c>
      <c r="N200" s="2">
        <v>14460.23</v>
      </c>
      <c r="O200" s="2">
        <v>107481.39</v>
      </c>
      <c r="P200" s="2">
        <v>0</v>
      </c>
      <c r="Q200" s="2" t="str">
        <f t="shared" si="109"/>
        <v>E021635187</v>
      </c>
      <c r="R200" s="2" t="str">
        <f t="shared" si="105"/>
        <v>人民币</v>
      </c>
      <c r="S200" s="2" t="str">
        <f>"1361000166"</f>
        <v>1361000166</v>
      </c>
    </row>
    <row r="201" spans="1:19">
      <c r="A201" s="2" t="str">
        <f t="shared" ref="A201:A204" si="110">"20150915"</f>
        <v>20150915</v>
      </c>
      <c r="B201" s="2" t="str">
        <f t="shared" si="107"/>
        <v>600066</v>
      </c>
      <c r="C201" s="2" t="str">
        <f t="shared" si="108"/>
        <v>宇通客车</v>
      </c>
      <c r="D201" s="2" t="str">
        <f>"担保品买入"</f>
        <v>担保品买入</v>
      </c>
      <c r="E201" s="2">
        <v>17.69</v>
      </c>
      <c r="F201" s="2">
        <v>1000</v>
      </c>
      <c r="G201" s="2">
        <v>17690</v>
      </c>
      <c r="H201" s="2">
        <v>5.48</v>
      </c>
      <c r="I201" s="2">
        <v>4.26</v>
      </c>
      <c r="J201" s="2">
        <v>0</v>
      </c>
      <c r="K201" s="2">
        <v>0.35</v>
      </c>
      <c r="L201" s="2">
        <v>0</v>
      </c>
      <c r="M201" s="2">
        <v>0</v>
      </c>
      <c r="N201" s="2">
        <v>-17695.83</v>
      </c>
      <c r="O201" s="2">
        <v>89785.56</v>
      </c>
      <c r="P201" s="2">
        <v>5000</v>
      </c>
      <c r="Q201" s="2" t="str">
        <f t="shared" si="109"/>
        <v>E021635187</v>
      </c>
      <c r="R201" s="2" t="str">
        <f t="shared" si="105"/>
        <v>人民币</v>
      </c>
      <c r="S201" s="2" t="str">
        <f>"1361000435"</f>
        <v>1361000435</v>
      </c>
    </row>
    <row r="202" spans="1:19">
      <c r="A202" s="2" t="str">
        <f t="shared" si="110"/>
        <v>20150915</v>
      </c>
      <c r="B202" s="2" t="str">
        <f t="shared" si="107"/>
        <v>600066</v>
      </c>
      <c r="C202" s="2" t="str">
        <f t="shared" si="108"/>
        <v>宇通客车</v>
      </c>
      <c r="D202" s="2" t="str">
        <f>"担保品卖出"</f>
        <v>担保品卖出</v>
      </c>
      <c r="E202" s="2">
        <v>17.96</v>
      </c>
      <c r="F202" s="2">
        <v>1000</v>
      </c>
      <c r="G202" s="2">
        <v>17960</v>
      </c>
      <c r="H202" s="2">
        <v>5.57</v>
      </c>
      <c r="I202" s="2">
        <v>4.33</v>
      </c>
      <c r="J202" s="2">
        <v>17.96</v>
      </c>
      <c r="K202" s="2">
        <v>0.36</v>
      </c>
      <c r="L202" s="2">
        <v>0</v>
      </c>
      <c r="M202" s="2">
        <v>0</v>
      </c>
      <c r="N202" s="2">
        <v>17936.11</v>
      </c>
      <c r="O202" s="2">
        <v>107721.67</v>
      </c>
      <c r="P202" s="2">
        <v>4000</v>
      </c>
      <c r="Q202" s="2" t="str">
        <f t="shared" si="109"/>
        <v>E021635187</v>
      </c>
      <c r="R202" s="2" t="str">
        <f t="shared" si="105"/>
        <v>人民币</v>
      </c>
      <c r="S202" s="2" t="str">
        <f>"1361000735"</f>
        <v>1361000735</v>
      </c>
    </row>
    <row r="203" spans="1:18">
      <c r="A203" s="2" t="str">
        <f t="shared" si="110"/>
        <v>20150915</v>
      </c>
      <c r="D203" s="2" t="str">
        <f t="shared" ref="D203:D207" si="111">"偿还融资负债本金"</f>
        <v>偿还融资负债本金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-16099.03</v>
      </c>
      <c r="O203" s="2">
        <v>91622.64</v>
      </c>
      <c r="P203" s="2">
        <v>0</v>
      </c>
      <c r="R203" s="2" t="str">
        <f t="shared" si="105"/>
        <v>人民币</v>
      </c>
    </row>
    <row r="204" spans="1:18">
      <c r="A204" s="2" t="str">
        <f t="shared" si="110"/>
        <v>20150915</v>
      </c>
      <c r="D204" s="2" t="str">
        <f t="shared" si="111"/>
        <v>偿还融资负债本金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-1788.77</v>
      </c>
      <c r="O204" s="2">
        <v>89833.87</v>
      </c>
      <c r="P204" s="2">
        <v>0</v>
      </c>
      <c r="R204" s="2" t="str">
        <f t="shared" si="105"/>
        <v>人民币</v>
      </c>
    </row>
    <row r="205" spans="1:19">
      <c r="A205" s="2" t="str">
        <f t="shared" ref="A205:A207" si="112">"20150917"</f>
        <v>20150917</v>
      </c>
      <c r="B205" s="2" t="str">
        <f>"600066"</f>
        <v>600066</v>
      </c>
      <c r="C205" s="2" t="str">
        <f>"宇通客车"</f>
        <v>宇通客车</v>
      </c>
      <c r="D205" s="2" t="str">
        <f>"卖券还款"</f>
        <v>卖券还款</v>
      </c>
      <c r="E205" s="2">
        <v>18.6</v>
      </c>
      <c r="F205" s="2">
        <v>1000</v>
      </c>
      <c r="G205" s="2">
        <v>18600</v>
      </c>
      <c r="H205" s="2">
        <v>20.46</v>
      </c>
      <c r="I205" s="2">
        <v>19.18</v>
      </c>
      <c r="J205" s="2">
        <v>18.6</v>
      </c>
      <c r="K205" s="2">
        <v>0.37</v>
      </c>
      <c r="L205" s="2">
        <v>0</v>
      </c>
      <c r="M205" s="2">
        <v>0</v>
      </c>
      <c r="N205" s="2">
        <v>18560.57</v>
      </c>
      <c r="O205" s="2">
        <v>108394.44</v>
      </c>
      <c r="P205" s="2">
        <v>3000</v>
      </c>
      <c r="Q205" s="2" t="str">
        <f>"E021635187"</f>
        <v>E021635187</v>
      </c>
      <c r="R205" s="2" t="str">
        <f t="shared" si="105"/>
        <v>人民币</v>
      </c>
      <c r="S205" s="2" t="str">
        <f t="shared" ref="S205:S207" si="113">"1361000059"</f>
        <v>1361000059</v>
      </c>
    </row>
    <row r="206" spans="1:19">
      <c r="A206" s="2" t="str">
        <f t="shared" si="112"/>
        <v>20150917</v>
      </c>
      <c r="D206" s="2" t="str">
        <f>"偿还融资利息"</f>
        <v>偿还融资利息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-97.54</v>
      </c>
      <c r="O206" s="2">
        <v>108296.9</v>
      </c>
      <c r="P206" s="2">
        <v>0</v>
      </c>
      <c r="R206" s="2" t="str">
        <f t="shared" si="105"/>
        <v>人民币</v>
      </c>
      <c r="S206" s="2" t="str">
        <f t="shared" si="113"/>
        <v>1361000059</v>
      </c>
    </row>
    <row r="207" spans="1:19">
      <c r="A207" s="2" t="str">
        <f t="shared" si="112"/>
        <v>20150917</v>
      </c>
      <c r="D207" s="2" t="str">
        <f t="shared" si="111"/>
        <v>偿还融资负债本金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-18463.03</v>
      </c>
      <c r="O207" s="2">
        <v>89833.87</v>
      </c>
      <c r="P207" s="2">
        <v>0</v>
      </c>
      <c r="R207" s="2" t="str">
        <f t="shared" si="105"/>
        <v>人民币</v>
      </c>
      <c r="S207" s="2" t="str">
        <f t="shared" si="113"/>
        <v>1361000059</v>
      </c>
    </row>
    <row r="208" spans="1:19">
      <c r="A208" s="2" t="str">
        <f t="shared" ref="A208:A210" si="114">"20150918"</f>
        <v>20150918</v>
      </c>
      <c r="B208" s="2" t="str">
        <f>"002296"</f>
        <v>002296</v>
      </c>
      <c r="C208" s="2" t="str">
        <f>"辉煌科技"</f>
        <v>辉煌科技</v>
      </c>
      <c r="D208" s="2" t="str">
        <f>"担保品买入"</f>
        <v>担保品买入</v>
      </c>
      <c r="E208" s="2">
        <v>14.1</v>
      </c>
      <c r="F208" s="2">
        <v>1000</v>
      </c>
      <c r="G208" s="2">
        <v>14100</v>
      </c>
      <c r="H208" s="2">
        <v>5</v>
      </c>
      <c r="I208" s="2">
        <v>3.75</v>
      </c>
      <c r="J208" s="2">
        <v>0</v>
      </c>
      <c r="K208" s="2">
        <v>0</v>
      </c>
      <c r="L208" s="2">
        <v>0</v>
      </c>
      <c r="M208" s="2">
        <v>0</v>
      </c>
      <c r="N208" s="2">
        <v>-14105</v>
      </c>
      <c r="O208" s="2">
        <v>75728.87</v>
      </c>
      <c r="P208" s="2">
        <v>1000</v>
      </c>
      <c r="Q208" s="2" t="str">
        <f>"0602175409"</f>
        <v>0602175409</v>
      </c>
      <c r="R208" s="2" t="str">
        <f t="shared" si="105"/>
        <v>人民币</v>
      </c>
      <c r="S208" s="2" t="str">
        <f>"T4000607"</f>
        <v>T4000607</v>
      </c>
    </row>
    <row r="209" spans="1:18">
      <c r="A209" s="2" t="str">
        <f t="shared" si="114"/>
        <v>20150918</v>
      </c>
      <c r="D209" s="2" t="str">
        <f>"偿还融资负债本金"</f>
        <v>偿还融资负债本金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-20682.98</v>
      </c>
      <c r="O209" s="2">
        <v>55041.09</v>
      </c>
      <c r="P209" s="2">
        <v>0</v>
      </c>
      <c r="R209" s="2" t="str">
        <f t="shared" si="105"/>
        <v>人民币</v>
      </c>
    </row>
    <row r="210" spans="1:18">
      <c r="A210" s="2" t="str">
        <f t="shared" si="114"/>
        <v>20150918</v>
      </c>
      <c r="D210" s="2" t="str">
        <f>"偿还融资利息"</f>
        <v>偿还融资利息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-4.8</v>
      </c>
      <c r="O210" s="2">
        <v>75724.07</v>
      </c>
      <c r="P210" s="2">
        <v>0</v>
      </c>
      <c r="R210" s="2" t="str">
        <f t="shared" si="105"/>
        <v>人民币</v>
      </c>
    </row>
    <row r="211" spans="1:18">
      <c r="A211" s="2" t="str">
        <f>"20150921"</f>
        <v>20150921</v>
      </c>
      <c r="D211" s="2" t="str">
        <f>"利息归本"</f>
        <v>利息归本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72.5</v>
      </c>
      <c r="O211" s="2">
        <v>55113.59</v>
      </c>
      <c r="P211" s="2">
        <v>0</v>
      </c>
      <c r="R211" s="2" t="str">
        <f t="shared" si="105"/>
        <v>人民币</v>
      </c>
    </row>
    <row r="212" spans="1:19">
      <c r="A212" s="2" t="str">
        <f>"20150921"</f>
        <v>20150921</v>
      </c>
      <c r="B212" s="2" t="str">
        <f>"002296"</f>
        <v>002296</v>
      </c>
      <c r="C212" s="2" t="str">
        <f>"辉煌科技"</f>
        <v>辉煌科技</v>
      </c>
      <c r="D212" s="2" t="str">
        <f>"担保品卖出"</f>
        <v>担保品卖出</v>
      </c>
      <c r="E212" s="2">
        <v>14.413</v>
      </c>
      <c r="F212" s="2">
        <v>1000</v>
      </c>
      <c r="G212" s="2">
        <v>14413</v>
      </c>
      <c r="H212" s="2">
        <v>5</v>
      </c>
      <c r="I212" s="2">
        <v>3.72</v>
      </c>
      <c r="J212" s="2">
        <v>14.41</v>
      </c>
      <c r="K212" s="2">
        <v>0</v>
      </c>
      <c r="L212" s="2">
        <v>0</v>
      </c>
      <c r="M212" s="2">
        <v>0</v>
      </c>
      <c r="N212" s="2">
        <v>14393.59</v>
      </c>
      <c r="O212" s="2">
        <v>69507.18</v>
      </c>
      <c r="P212" s="2">
        <v>0</v>
      </c>
      <c r="Q212" s="2" t="str">
        <f>"0602175409"</f>
        <v>0602175409</v>
      </c>
      <c r="R212" s="2" t="str">
        <f t="shared" si="105"/>
        <v>人民币</v>
      </c>
      <c r="S212" s="2" t="str">
        <f>"T4000451"</f>
        <v>T4000451</v>
      </c>
    </row>
    <row r="213" spans="1:18">
      <c r="A213" s="2" t="str">
        <f>"20150924"</f>
        <v>20150924</v>
      </c>
      <c r="D213" s="2" t="str">
        <f>"证券转银行"</f>
        <v>证券转银行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-50000</v>
      </c>
      <c r="O213" s="2">
        <v>19507.18</v>
      </c>
      <c r="P213" s="2">
        <v>0</v>
      </c>
      <c r="R213" s="2" t="str">
        <f t="shared" si="105"/>
        <v>人民币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0"/>
  <sheetViews>
    <sheetView topLeftCell="A34" workbookViewId="0">
      <selection activeCell="E62" sqref="E62"/>
    </sheetView>
  </sheetViews>
  <sheetFormatPr defaultColWidth="9" defaultRowHeight="13.5"/>
  <cols>
    <col min="1" max="16384" width="9" style="2"/>
  </cols>
  <sheetData>
    <row r="1" spans="1:19">
      <c r="A1" s="2" t="str">
        <f>"交割日期"</f>
        <v>交割日期</v>
      </c>
      <c r="B1" s="2" t="str">
        <f>"证券代码"</f>
        <v>证券代码</v>
      </c>
      <c r="C1" s="2" t="str">
        <f>"证券名称"</f>
        <v>证券名称</v>
      </c>
      <c r="D1" s="2" t="str">
        <f>"业务名称"</f>
        <v>业务名称</v>
      </c>
      <c r="E1" s="2" t="str">
        <f>"成交价格"</f>
        <v>成交价格</v>
      </c>
      <c r="F1" s="2" t="str">
        <f>"成交数量"</f>
        <v>成交数量</v>
      </c>
      <c r="G1" s="2" t="str">
        <f>"成交金额"</f>
        <v>成交金额</v>
      </c>
      <c r="H1" s="2" t="str">
        <f>"手续费"</f>
        <v>手续费</v>
      </c>
      <c r="I1" s="2" t="str">
        <f>"净佣金"</f>
        <v>净佣金</v>
      </c>
      <c r="J1" s="2" t="str">
        <f>"印花税"</f>
        <v>印花税</v>
      </c>
      <c r="K1" s="2" t="str">
        <f>"过户费"</f>
        <v>过户费</v>
      </c>
      <c r="L1" s="2" t="str">
        <f>"结算费"</f>
        <v>结算费</v>
      </c>
      <c r="M1" s="2" t="str">
        <f>"其他费"</f>
        <v>其他费</v>
      </c>
      <c r="N1" s="2" t="str">
        <f>"发生金额"</f>
        <v>发生金额</v>
      </c>
      <c r="O1" s="2" t="str">
        <f>"剩余金额"</f>
        <v>剩余金额</v>
      </c>
      <c r="P1" s="2" t="str">
        <f>"证券数量"</f>
        <v>证券数量</v>
      </c>
      <c r="Q1" s="2" t="str">
        <f>"股东代码"</f>
        <v>股东代码</v>
      </c>
      <c r="R1" s="2" t="str">
        <f>"币种"</f>
        <v>币种</v>
      </c>
      <c r="S1" s="2" t="str">
        <f>"成交编号"</f>
        <v>成交编号</v>
      </c>
    </row>
    <row r="2" spans="1:19">
      <c r="A2" s="2" t="str">
        <f>"20151013"</f>
        <v>20151013</v>
      </c>
      <c r="B2" s="2" t="str">
        <f t="shared" ref="B2:B9" si="0">"600066"</f>
        <v>600066</v>
      </c>
      <c r="C2" s="2" t="str">
        <f t="shared" ref="C2:C9" si="1">"宇通客车"</f>
        <v>宇通客车</v>
      </c>
      <c r="D2" s="2" t="str">
        <f t="shared" ref="D2:D6" si="2">"担保品卖出"</f>
        <v>担保品卖出</v>
      </c>
      <c r="E2" s="2">
        <v>20.1</v>
      </c>
      <c r="F2" s="2">
        <v>1000</v>
      </c>
      <c r="G2" s="2">
        <v>20100</v>
      </c>
      <c r="H2" s="2">
        <v>6.23</v>
      </c>
      <c r="I2" s="2">
        <v>4.84</v>
      </c>
      <c r="J2" s="2">
        <v>20.1</v>
      </c>
      <c r="K2" s="2">
        <v>0.4</v>
      </c>
      <c r="L2" s="2">
        <v>0</v>
      </c>
      <c r="M2" s="2">
        <v>0</v>
      </c>
      <c r="N2" s="2">
        <v>20073.27</v>
      </c>
      <c r="O2" s="2">
        <v>39580.45</v>
      </c>
      <c r="P2" s="2">
        <v>2000</v>
      </c>
      <c r="Q2" s="2" t="str">
        <f t="shared" ref="Q2:Q19" si="3">"E021635187"</f>
        <v>E021635187</v>
      </c>
      <c r="R2" s="2" t="str">
        <f t="shared" ref="R2:R60" si="4">"人民币"</f>
        <v>人民币</v>
      </c>
      <c r="S2" s="2" t="str">
        <f>"1361000419"</f>
        <v>1361000419</v>
      </c>
    </row>
    <row r="3" spans="1:19">
      <c r="A3" s="2" t="str">
        <f>"20151016"</f>
        <v>20151016</v>
      </c>
      <c r="B3" s="2" t="str">
        <f t="shared" si="0"/>
        <v>600066</v>
      </c>
      <c r="C3" s="2" t="str">
        <f t="shared" si="1"/>
        <v>宇通客车</v>
      </c>
      <c r="D3" s="2" t="str">
        <f t="shared" si="2"/>
        <v>担保品卖出</v>
      </c>
      <c r="E3" s="2">
        <v>20.68</v>
      </c>
      <c r="F3" s="2">
        <v>500</v>
      </c>
      <c r="G3" s="2">
        <v>10340</v>
      </c>
      <c r="H3" s="2">
        <v>5</v>
      </c>
      <c r="I3" s="2">
        <v>4.3</v>
      </c>
      <c r="J3" s="2">
        <v>10.34</v>
      </c>
      <c r="K3" s="2">
        <v>0.21</v>
      </c>
      <c r="L3" s="2">
        <v>0</v>
      </c>
      <c r="M3" s="2">
        <v>0</v>
      </c>
      <c r="N3" s="2">
        <v>10324.45</v>
      </c>
      <c r="O3" s="2">
        <v>49904.9</v>
      </c>
      <c r="P3" s="2">
        <v>1500</v>
      </c>
      <c r="Q3" s="2" t="str">
        <f t="shared" si="3"/>
        <v>E021635187</v>
      </c>
      <c r="R3" s="2" t="str">
        <f t="shared" si="4"/>
        <v>人民币</v>
      </c>
      <c r="S3" s="2" t="str">
        <f>"1361000341"</f>
        <v>1361000341</v>
      </c>
    </row>
    <row r="4" spans="1:19">
      <c r="A4" s="2" t="str">
        <f>"20151016"</f>
        <v>20151016</v>
      </c>
      <c r="B4" s="2" t="str">
        <f t="shared" si="0"/>
        <v>600066</v>
      </c>
      <c r="C4" s="2" t="str">
        <f t="shared" si="1"/>
        <v>宇通客车</v>
      </c>
      <c r="D4" s="2" t="str">
        <f t="shared" ref="D4:D10" si="5">"担保品买入"</f>
        <v>担保品买入</v>
      </c>
      <c r="E4" s="2">
        <v>20.29</v>
      </c>
      <c r="F4" s="2">
        <v>500</v>
      </c>
      <c r="G4" s="2">
        <v>10145</v>
      </c>
      <c r="H4" s="2">
        <v>5</v>
      </c>
      <c r="I4" s="2">
        <v>4.31</v>
      </c>
      <c r="J4" s="2">
        <v>0</v>
      </c>
      <c r="K4" s="2">
        <v>0.2</v>
      </c>
      <c r="L4" s="2">
        <v>0</v>
      </c>
      <c r="M4" s="2">
        <v>0</v>
      </c>
      <c r="N4" s="2">
        <v>-10150.2</v>
      </c>
      <c r="O4" s="2">
        <v>39754.7</v>
      </c>
      <c r="P4" s="2">
        <v>2000</v>
      </c>
      <c r="Q4" s="2" t="str">
        <f t="shared" si="3"/>
        <v>E021635187</v>
      </c>
      <c r="R4" s="2" t="str">
        <f t="shared" si="4"/>
        <v>人民币</v>
      </c>
      <c r="S4" s="2" t="str">
        <f>"1361000889"</f>
        <v>1361000889</v>
      </c>
    </row>
    <row r="5" spans="1:19">
      <c r="A5" s="2" t="str">
        <f t="shared" ref="A5:A7" si="6">"20151019"</f>
        <v>20151019</v>
      </c>
      <c r="B5" s="2" t="str">
        <f t="shared" si="0"/>
        <v>600066</v>
      </c>
      <c r="C5" s="2" t="str">
        <f t="shared" si="1"/>
        <v>宇通客车</v>
      </c>
      <c r="D5" s="2" t="str">
        <f t="shared" si="2"/>
        <v>担保品卖出</v>
      </c>
      <c r="E5" s="2">
        <v>20.65</v>
      </c>
      <c r="F5" s="2">
        <v>500</v>
      </c>
      <c r="G5" s="2">
        <v>10325</v>
      </c>
      <c r="H5" s="2">
        <v>5</v>
      </c>
      <c r="I5" s="2">
        <v>4.29</v>
      </c>
      <c r="J5" s="2">
        <v>10.33</v>
      </c>
      <c r="K5" s="2">
        <v>0.21</v>
      </c>
      <c r="L5" s="2">
        <v>0</v>
      </c>
      <c r="M5" s="2">
        <v>0</v>
      </c>
      <c r="N5" s="2">
        <v>10309.46</v>
      </c>
      <c r="O5" s="2">
        <v>50064.16</v>
      </c>
      <c r="P5" s="2">
        <v>1500</v>
      </c>
      <c r="Q5" s="2" t="str">
        <f t="shared" si="3"/>
        <v>E021635187</v>
      </c>
      <c r="R5" s="2" t="str">
        <f t="shared" si="4"/>
        <v>人民币</v>
      </c>
      <c r="S5" s="2" t="str">
        <f>"1361000105"</f>
        <v>1361000105</v>
      </c>
    </row>
    <row r="6" spans="1:19">
      <c r="A6" s="2" t="str">
        <f t="shared" si="6"/>
        <v>20151019</v>
      </c>
      <c r="B6" s="2" t="str">
        <f t="shared" si="0"/>
        <v>600066</v>
      </c>
      <c r="C6" s="2" t="str">
        <f t="shared" si="1"/>
        <v>宇通客车</v>
      </c>
      <c r="D6" s="2" t="str">
        <f t="shared" si="2"/>
        <v>担保品卖出</v>
      </c>
      <c r="E6" s="2">
        <v>21.55</v>
      </c>
      <c r="F6" s="2">
        <v>500</v>
      </c>
      <c r="G6" s="2">
        <v>10775</v>
      </c>
      <c r="H6" s="2">
        <v>5</v>
      </c>
      <c r="I6" s="2">
        <v>4.26</v>
      </c>
      <c r="J6" s="2">
        <v>10.78</v>
      </c>
      <c r="K6" s="2">
        <v>0.22</v>
      </c>
      <c r="L6" s="2">
        <v>0</v>
      </c>
      <c r="M6" s="2">
        <v>0</v>
      </c>
      <c r="N6" s="2">
        <v>10759</v>
      </c>
      <c r="O6" s="2">
        <v>60823.16</v>
      </c>
      <c r="P6" s="2">
        <v>1000</v>
      </c>
      <c r="Q6" s="2" t="str">
        <f t="shared" si="3"/>
        <v>E021635187</v>
      </c>
      <c r="R6" s="2" t="str">
        <f t="shared" si="4"/>
        <v>人民币</v>
      </c>
      <c r="S6" s="2" t="str">
        <f>"1361000808"</f>
        <v>1361000808</v>
      </c>
    </row>
    <row r="7" spans="1:19">
      <c r="A7" s="2" t="str">
        <f t="shared" si="6"/>
        <v>20151019</v>
      </c>
      <c r="B7" s="2" t="str">
        <f t="shared" si="0"/>
        <v>600066</v>
      </c>
      <c r="C7" s="2" t="str">
        <f t="shared" si="1"/>
        <v>宇通客车</v>
      </c>
      <c r="D7" s="2" t="str">
        <f t="shared" si="5"/>
        <v>担保品买入</v>
      </c>
      <c r="E7" s="2">
        <v>21.13</v>
      </c>
      <c r="F7" s="2">
        <v>500</v>
      </c>
      <c r="G7" s="2">
        <v>10565</v>
      </c>
      <c r="H7" s="2">
        <v>5</v>
      </c>
      <c r="I7" s="2">
        <v>4.28</v>
      </c>
      <c r="J7" s="2">
        <v>0</v>
      </c>
      <c r="K7" s="2">
        <v>0.21</v>
      </c>
      <c r="L7" s="2">
        <v>0</v>
      </c>
      <c r="M7" s="2">
        <v>0</v>
      </c>
      <c r="N7" s="2">
        <v>-10570.21</v>
      </c>
      <c r="O7" s="2">
        <v>50252.95</v>
      </c>
      <c r="P7" s="2">
        <v>1500</v>
      </c>
      <c r="Q7" s="2" t="str">
        <f t="shared" si="3"/>
        <v>E021635187</v>
      </c>
      <c r="R7" s="2" t="str">
        <f t="shared" si="4"/>
        <v>人民币</v>
      </c>
      <c r="S7" s="2" t="str">
        <f>"1361001036"</f>
        <v>1361001036</v>
      </c>
    </row>
    <row r="8" spans="1:19">
      <c r="A8" s="2" t="str">
        <f>"20151020"</f>
        <v>20151020</v>
      </c>
      <c r="B8" s="2" t="str">
        <f t="shared" si="0"/>
        <v>600066</v>
      </c>
      <c r="C8" s="2" t="str">
        <f t="shared" si="1"/>
        <v>宇通客车</v>
      </c>
      <c r="D8" s="2" t="str">
        <f t="shared" ref="D8:D12" si="7">"担保品卖出"</f>
        <v>担保品卖出</v>
      </c>
      <c r="E8" s="2">
        <v>21.5</v>
      </c>
      <c r="F8" s="2">
        <v>500</v>
      </c>
      <c r="G8" s="2">
        <v>10750</v>
      </c>
      <c r="H8" s="2">
        <v>5</v>
      </c>
      <c r="I8" s="2">
        <v>4.26</v>
      </c>
      <c r="J8" s="2">
        <v>10.75</v>
      </c>
      <c r="K8" s="2">
        <v>0.22</v>
      </c>
      <c r="L8" s="2">
        <v>0</v>
      </c>
      <c r="M8" s="2">
        <v>0</v>
      </c>
      <c r="N8" s="2">
        <v>10734.03</v>
      </c>
      <c r="O8" s="2">
        <v>60986.98</v>
      </c>
      <c r="P8" s="2">
        <v>1000</v>
      </c>
      <c r="Q8" s="2" t="str">
        <f t="shared" si="3"/>
        <v>E021635187</v>
      </c>
      <c r="R8" s="2" t="str">
        <f t="shared" si="4"/>
        <v>人民币</v>
      </c>
      <c r="S8" s="2" t="str">
        <f>"1361000594"</f>
        <v>1361000594</v>
      </c>
    </row>
    <row r="9" spans="1:19">
      <c r="A9" s="2" t="str">
        <f>"20151021"</f>
        <v>20151021</v>
      </c>
      <c r="B9" s="2" t="str">
        <f t="shared" si="0"/>
        <v>600066</v>
      </c>
      <c r="C9" s="2" t="str">
        <f t="shared" si="1"/>
        <v>宇通客车</v>
      </c>
      <c r="D9" s="2" t="str">
        <f t="shared" si="5"/>
        <v>担保品买入</v>
      </c>
      <c r="E9" s="2">
        <v>20.43</v>
      </c>
      <c r="F9" s="2">
        <v>500</v>
      </c>
      <c r="G9" s="2">
        <v>10215</v>
      </c>
      <c r="H9" s="2">
        <v>5</v>
      </c>
      <c r="I9" s="2">
        <v>4.3</v>
      </c>
      <c r="J9" s="2">
        <v>0</v>
      </c>
      <c r="K9" s="2">
        <v>0.2</v>
      </c>
      <c r="L9" s="2">
        <v>0</v>
      </c>
      <c r="M9" s="2">
        <v>0</v>
      </c>
      <c r="N9" s="2">
        <v>-10220.2</v>
      </c>
      <c r="O9" s="2">
        <v>50766.78</v>
      </c>
      <c r="P9" s="2">
        <v>1500</v>
      </c>
      <c r="Q9" s="2" t="str">
        <f t="shared" si="3"/>
        <v>E021635187</v>
      </c>
      <c r="R9" s="2" t="str">
        <f t="shared" si="4"/>
        <v>人民币</v>
      </c>
      <c r="S9" s="2" t="str">
        <f>"1361000865"</f>
        <v>1361000865</v>
      </c>
    </row>
    <row r="10" spans="1:19">
      <c r="A10" s="2" t="str">
        <f>"20151022"</f>
        <v>20151022</v>
      </c>
      <c r="B10" s="2" t="str">
        <f>"600575"</f>
        <v>600575</v>
      </c>
      <c r="C10" s="2" t="str">
        <f>"皖江物流"</f>
        <v>皖江物流</v>
      </c>
      <c r="D10" s="2" t="str">
        <f t="shared" si="5"/>
        <v>担保品买入</v>
      </c>
      <c r="E10" s="2">
        <v>5.7</v>
      </c>
      <c r="F10" s="2">
        <v>2000</v>
      </c>
      <c r="G10" s="2">
        <v>11400</v>
      </c>
      <c r="H10" s="2">
        <v>5</v>
      </c>
      <c r="I10" s="2">
        <v>4.21</v>
      </c>
      <c r="J10" s="2">
        <v>0</v>
      </c>
      <c r="K10" s="2">
        <v>0.23</v>
      </c>
      <c r="L10" s="2">
        <v>0</v>
      </c>
      <c r="M10" s="2">
        <v>0</v>
      </c>
      <c r="N10" s="2">
        <v>-11405.23</v>
      </c>
      <c r="O10" s="2">
        <v>39361.55</v>
      </c>
      <c r="P10" s="2">
        <v>2000</v>
      </c>
      <c r="Q10" s="2" t="str">
        <f t="shared" si="3"/>
        <v>E021635187</v>
      </c>
      <c r="R10" s="2" t="str">
        <f t="shared" si="4"/>
        <v>人民币</v>
      </c>
      <c r="S10" s="2" t="str">
        <f>"1361000811"</f>
        <v>1361000811</v>
      </c>
    </row>
    <row r="11" spans="1:19">
      <c r="A11" s="2" t="str">
        <f>"20151022"</f>
        <v>20151022</v>
      </c>
      <c r="B11" s="2" t="str">
        <f t="shared" ref="B11:B16" si="8">"600066"</f>
        <v>600066</v>
      </c>
      <c r="C11" s="2" t="str">
        <f t="shared" ref="C11:C16" si="9">"宇通客车"</f>
        <v>宇通客车</v>
      </c>
      <c r="D11" s="2" t="str">
        <f t="shared" si="7"/>
        <v>担保品卖出</v>
      </c>
      <c r="E11" s="2">
        <v>20.64</v>
      </c>
      <c r="F11" s="2">
        <v>500</v>
      </c>
      <c r="G11" s="2">
        <v>10320</v>
      </c>
      <c r="H11" s="2">
        <v>5</v>
      </c>
      <c r="I11" s="2">
        <v>4.29</v>
      </c>
      <c r="J11" s="2">
        <v>10.32</v>
      </c>
      <c r="K11" s="2">
        <v>0.21</v>
      </c>
      <c r="L11" s="2">
        <v>0</v>
      </c>
      <c r="M11" s="2">
        <v>0</v>
      </c>
      <c r="N11" s="2">
        <v>10304.47</v>
      </c>
      <c r="O11" s="2">
        <v>49666.02</v>
      </c>
      <c r="P11" s="2">
        <v>1000</v>
      </c>
      <c r="Q11" s="2" t="str">
        <f t="shared" si="3"/>
        <v>E021635187</v>
      </c>
      <c r="R11" s="2" t="str">
        <f t="shared" si="4"/>
        <v>人民币</v>
      </c>
      <c r="S11" s="2" t="str">
        <f>"1361000943"</f>
        <v>1361000943</v>
      </c>
    </row>
    <row r="12" spans="1:19">
      <c r="A12" s="2" t="str">
        <f>"20151028"</f>
        <v>20151028</v>
      </c>
      <c r="B12" s="2" t="str">
        <f t="shared" si="8"/>
        <v>600066</v>
      </c>
      <c r="C12" s="2" t="str">
        <f t="shared" si="9"/>
        <v>宇通客车</v>
      </c>
      <c r="D12" s="2" t="str">
        <f t="shared" si="7"/>
        <v>担保品卖出</v>
      </c>
      <c r="E12" s="2">
        <v>21.826</v>
      </c>
      <c r="F12" s="2">
        <v>500</v>
      </c>
      <c r="G12" s="2">
        <v>10913</v>
      </c>
      <c r="H12" s="2">
        <v>5</v>
      </c>
      <c r="I12" s="2">
        <v>4.25</v>
      </c>
      <c r="J12" s="2">
        <v>10.91</v>
      </c>
      <c r="K12" s="2">
        <v>0.22</v>
      </c>
      <c r="L12" s="2">
        <v>0</v>
      </c>
      <c r="M12" s="2">
        <v>0</v>
      </c>
      <c r="N12" s="2">
        <v>10896.87</v>
      </c>
      <c r="O12" s="2">
        <v>60562.89</v>
      </c>
      <c r="P12" s="2">
        <v>500</v>
      </c>
      <c r="Q12" s="2" t="str">
        <f t="shared" si="3"/>
        <v>E021635187</v>
      </c>
      <c r="R12" s="2" t="str">
        <f t="shared" si="4"/>
        <v>人民币</v>
      </c>
      <c r="S12" s="2" t="str">
        <f>"1361000679"</f>
        <v>1361000679</v>
      </c>
    </row>
    <row r="13" spans="1:19">
      <c r="A13" s="2" t="str">
        <f>"20151102"</f>
        <v>20151102</v>
      </c>
      <c r="B13" s="2" t="str">
        <f t="shared" si="8"/>
        <v>600066</v>
      </c>
      <c r="C13" s="2" t="str">
        <f t="shared" si="9"/>
        <v>宇通客车</v>
      </c>
      <c r="D13" s="2" t="str">
        <f t="shared" ref="D13:D21" si="10">"担保品买入"</f>
        <v>担保品买入</v>
      </c>
      <c r="E13" s="2">
        <v>21.2</v>
      </c>
      <c r="F13" s="2">
        <v>500</v>
      </c>
      <c r="G13" s="2">
        <v>10600</v>
      </c>
      <c r="H13" s="2">
        <v>5</v>
      </c>
      <c r="I13" s="2">
        <v>4.27</v>
      </c>
      <c r="J13" s="2">
        <v>0</v>
      </c>
      <c r="K13" s="2">
        <v>0.21</v>
      </c>
      <c r="L13" s="2">
        <v>0</v>
      </c>
      <c r="M13" s="2">
        <v>0</v>
      </c>
      <c r="N13" s="2">
        <v>-10605.21</v>
      </c>
      <c r="O13" s="2">
        <v>49957.68</v>
      </c>
      <c r="P13" s="2">
        <v>1000</v>
      </c>
      <c r="Q13" s="2" t="str">
        <f t="shared" si="3"/>
        <v>E021635187</v>
      </c>
      <c r="R13" s="2" t="str">
        <f t="shared" si="4"/>
        <v>人民币</v>
      </c>
      <c r="S13" s="2" t="str">
        <f>"1361000598"</f>
        <v>1361000598</v>
      </c>
    </row>
    <row r="14" spans="1:19">
      <c r="A14" s="2" t="str">
        <f>"20151103"</f>
        <v>20151103</v>
      </c>
      <c r="B14" s="2" t="str">
        <f t="shared" si="8"/>
        <v>600066</v>
      </c>
      <c r="C14" s="2" t="str">
        <f t="shared" si="9"/>
        <v>宇通客车</v>
      </c>
      <c r="D14" s="2" t="str">
        <f>"担保品卖出"</f>
        <v>担保品卖出</v>
      </c>
      <c r="E14" s="2">
        <v>21.37</v>
      </c>
      <c r="F14" s="2">
        <v>500</v>
      </c>
      <c r="G14" s="2">
        <v>10685</v>
      </c>
      <c r="H14" s="2">
        <v>5</v>
      </c>
      <c r="I14" s="2">
        <v>4.27</v>
      </c>
      <c r="J14" s="2">
        <v>10.69</v>
      </c>
      <c r="K14" s="2">
        <v>0.21</v>
      </c>
      <c r="L14" s="2">
        <v>0</v>
      </c>
      <c r="M14" s="2">
        <v>0</v>
      </c>
      <c r="N14" s="2">
        <v>10669.1</v>
      </c>
      <c r="O14" s="2">
        <v>60626.78</v>
      </c>
      <c r="P14" s="2">
        <v>500</v>
      </c>
      <c r="Q14" s="2" t="str">
        <f t="shared" si="3"/>
        <v>E021635187</v>
      </c>
      <c r="R14" s="2" t="str">
        <f t="shared" si="4"/>
        <v>人民币</v>
      </c>
      <c r="S14" s="2" t="str">
        <f>"1361000382"</f>
        <v>1361000382</v>
      </c>
    </row>
    <row r="15" spans="1:19">
      <c r="A15" s="2" t="str">
        <f>"20151109"</f>
        <v>20151109</v>
      </c>
      <c r="B15" s="2" t="str">
        <f t="shared" si="8"/>
        <v>600066</v>
      </c>
      <c r="C15" s="2" t="str">
        <f t="shared" si="9"/>
        <v>宇通客车</v>
      </c>
      <c r="D15" s="2" t="str">
        <f>"担保品卖出"</f>
        <v>担保品卖出</v>
      </c>
      <c r="E15" s="2">
        <v>22.85</v>
      </c>
      <c r="F15" s="2">
        <v>400</v>
      </c>
      <c r="G15" s="2">
        <v>9140</v>
      </c>
      <c r="H15" s="2">
        <v>5</v>
      </c>
      <c r="I15" s="2">
        <v>4.37</v>
      </c>
      <c r="J15" s="2">
        <v>9.14</v>
      </c>
      <c r="K15" s="2">
        <v>0.18</v>
      </c>
      <c r="L15" s="2">
        <v>0</v>
      </c>
      <c r="M15" s="2">
        <v>0</v>
      </c>
      <c r="N15" s="2">
        <v>9125.68</v>
      </c>
      <c r="O15" s="2">
        <v>69752.46</v>
      </c>
      <c r="P15" s="2">
        <v>100</v>
      </c>
      <c r="Q15" s="2" t="str">
        <f t="shared" si="3"/>
        <v>E021635187</v>
      </c>
      <c r="R15" s="2" t="str">
        <f t="shared" si="4"/>
        <v>人民币</v>
      </c>
      <c r="S15" s="2" t="str">
        <f>"1361000459"</f>
        <v>1361000459</v>
      </c>
    </row>
    <row r="16" spans="1:19">
      <c r="A16" s="2" t="str">
        <f>"20151109"</f>
        <v>20151109</v>
      </c>
      <c r="B16" s="2" t="str">
        <f t="shared" si="8"/>
        <v>600066</v>
      </c>
      <c r="C16" s="2" t="str">
        <f t="shared" si="9"/>
        <v>宇通客车</v>
      </c>
      <c r="D16" s="2" t="str">
        <f t="shared" si="10"/>
        <v>担保品买入</v>
      </c>
      <c r="E16" s="2">
        <v>22.53</v>
      </c>
      <c r="F16" s="2">
        <v>400</v>
      </c>
      <c r="G16" s="2">
        <v>9012</v>
      </c>
      <c r="H16" s="2">
        <v>5</v>
      </c>
      <c r="I16" s="2">
        <v>4.38</v>
      </c>
      <c r="J16" s="2">
        <v>0</v>
      </c>
      <c r="K16" s="2">
        <v>0.18</v>
      </c>
      <c r="L16" s="2">
        <v>0</v>
      </c>
      <c r="M16" s="2">
        <v>0</v>
      </c>
      <c r="N16" s="2">
        <v>-9017.18</v>
      </c>
      <c r="O16" s="2">
        <v>60735.28</v>
      </c>
      <c r="P16" s="2">
        <v>500</v>
      </c>
      <c r="Q16" s="2" t="str">
        <f t="shared" si="3"/>
        <v>E021635187</v>
      </c>
      <c r="R16" s="2" t="str">
        <f t="shared" si="4"/>
        <v>人民币</v>
      </c>
      <c r="S16" s="2" t="str">
        <f>"1361001057"</f>
        <v>1361001057</v>
      </c>
    </row>
    <row r="17" spans="1:19">
      <c r="A17" s="2" t="str">
        <f>"20151113"</f>
        <v>20151113</v>
      </c>
      <c r="B17" s="2" t="str">
        <f t="shared" ref="B17:B23" si="11">"600575"</f>
        <v>600575</v>
      </c>
      <c r="C17" s="2" t="str">
        <f t="shared" ref="C17:C23" si="12">"皖江物流"</f>
        <v>皖江物流</v>
      </c>
      <c r="D17" s="2" t="str">
        <f t="shared" si="10"/>
        <v>担保品买入</v>
      </c>
      <c r="E17" s="2">
        <v>5.98</v>
      </c>
      <c r="F17" s="2">
        <v>2000</v>
      </c>
      <c r="G17" s="2">
        <v>11960</v>
      </c>
      <c r="H17" s="2">
        <v>5</v>
      </c>
      <c r="I17" s="2">
        <v>4.18</v>
      </c>
      <c r="J17" s="2">
        <v>0</v>
      </c>
      <c r="K17" s="2">
        <v>0.24</v>
      </c>
      <c r="L17" s="2">
        <v>0</v>
      </c>
      <c r="M17" s="2">
        <v>0</v>
      </c>
      <c r="N17" s="2">
        <v>-11965.24</v>
      </c>
      <c r="O17" s="2">
        <v>48770.04</v>
      </c>
      <c r="P17" s="2">
        <v>4000</v>
      </c>
      <c r="Q17" s="2" t="str">
        <f t="shared" si="3"/>
        <v>E021635187</v>
      </c>
      <c r="R17" s="2" t="str">
        <f t="shared" si="4"/>
        <v>人民币</v>
      </c>
      <c r="S17" s="2" t="str">
        <f>"1361000129"</f>
        <v>1361000129</v>
      </c>
    </row>
    <row r="18" spans="1:19">
      <c r="A18" s="2" t="str">
        <f>"20151127"</f>
        <v>20151127</v>
      </c>
      <c r="B18" s="2" t="str">
        <f>"600066"</f>
        <v>600066</v>
      </c>
      <c r="C18" s="2" t="str">
        <f>"宇通客车"</f>
        <v>宇通客车</v>
      </c>
      <c r="D18" s="2" t="str">
        <f t="shared" si="10"/>
        <v>担保品买入</v>
      </c>
      <c r="E18" s="2">
        <v>20.6</v>
      </c>
      <c r="F18" s="2">
        <v>500</v>
      </c>
      <c r="G18" s="2">
        <v>10300</v>
      </c>
      <c r="H18" s="2">
        <v>5</v>
      </c>
      <c r="I18" s="2">
        <v>4.29</v>
      </c>
      <c r="J18" s="2">
        <v>0</v>
      </c>
      <c r="K18" s="2">
        <v>0.21</v>
      </c>
      <c r="L18" s="2">
        <v>0</v>
      </c>
      <c r="M18" s="2">
        <v>0</v>
      </c>
      <c r="N18" s="2">
        <v>-10305.21</v>
      </c>
      <c r="O18" s="2">
        <v>38464.83</v>
      </c>
      <c r="P18" s="2">
        <v>1000</v>
      </c>
      <c r="Q18" s="2" t="str">
        <f t="shared" si="3"/>
        <v>E021635187</v>
      </c>
      <c r="R18" s="2" t="str">
        <f t="shared" si="4"/>
        <v>人民币</v>
      </c>
      <c r="S18" s="2" t="str">
        <f>"1361000766"</f>
        <v>1361000766</v>
      </c>
    </row>
    <row r="19" spans="1:19">
      <c r="A19" s="2" t="str">
        <f>"20151208"</f>
        <v>20151208</v>
      </c>
      <c r="B19" s="2" t="str">
        <f>"600066"</f>
        <v>600066</v>
      </c>
      <c r="C19" s="2" t="str">
        <f>"宇通客车"</f>
        <v>宇通客车</v>
      </c>
      <c r="D19" s="2" t="str">
        <f t="shared" si="10"/>
        <v>担保品买入</v>
      </c>
      <c r="E19" s="2">
        <v>20.88</v>
      </c>
      <c r="F19" s="2">
        <v>500</v>
      </c>
      <c r="G19" s="2">
        <v>10440</v>
      </c>
      <c r="H19" s="2">
        <v>5</v>
      </c>
      <c r="I19" s="2">
        <v>4.28</v>
      </c>
      <c r="J19" s="2">
        <v>0</v>
      </c>
      <c r="K19" s="2">
        <v>0.21</v>
      </c>
      <c r="L19" s="2">
        <v>0</v>
      </c>
      <c r="M19" s="2">
        <v>0</v>
      </c>
      <c r="N19" s="2">
        <v>-10445.21</v>
      </c>
      <c r="O19" s="2">
        <v>28019.62</v>
      </c>
      <c r="P19" s="2">
        <v>1500</v>
      </c>
      <c r="Q19" s="2" t="str">
        <f t="shared" si="3"/>
        <v>E021635187</v>
      </c>
      <c r="R19" s="2" t="str">
        <f t="shared" si="4"/>
        <v>人民币</v>
      </c>
      <c r="S19" s="2" t="str">
        <f>"1361000462"</f>
        <v>1361000462</v>
      </c>
    </row>
    <row r="20" spans="1:19">
      <c r="A20" s="2" t="str">
        <f>"20151209"</f>
        <v>20151209</v>
      </c>
      <c r="B20" s="2" t="str">
        <f>"000667"</f>
        <v>000667</v>
      </c>
      <c r="C20" s="2" t="str">
        <f>"美好集团"</f>
        <v>美好集团</v>
      </c>
      <c r="D20" s="2" t="str">
        <f t="shared" si="10"/>
        <v>担保品买入</v>
      </c>
      <c r="E20" s="2">
        <v>4.97</v>
      </c>
      <c r="F20" s="2">
        <v>1000</v>
      </c>
      <c r="G20" s="2">
        <v>4970</v>
      </c>
      <c r="H20" s="2">
        <v>5</v>
      </c>
      <c r="I20" s="2">
        <v>4.56</v>
      </c>
      <c r="J20" s="2">
        <v>0</v>
      </c>
      <c r="K20" s="2">
        <v>0</v>
      </c>
      <c r="L20" s="2">
        <v>0</v>
      </c>
      <c r="M20" s="2">
        <v>0</v>
      </c>
      <c r="N20" s="2">
        <v>-4975</v>
      </c>
      <c r="O20" s="2">
        <v>23044.62</v>
      </c>
      <c r="P20" s="2">
        <v>1000</v>
      </c>
      <c r="Q20" s="2" t="str">
        <f>"0602175409"</f>
        <v>0602175409</v>
      </c>
      <c r="R20" s="2" t="str">
        <f t="shared" si="4"/>
        <v>人民币</v>
      </c>
      <c r="S20" s="2" t="str">
        <f>"T4001020"</f>
        <v>T4001020</v>
      </c>
    </row>
    <row r="21" spans="1:19">
      <c r="A21" s="2" t="str">
        <f t="shared" ref="A21:A23" si="13">"20151210"</f>
        <v>20151210</v>
      </c>
      <c r="B21" s="2" t="str">
        <f t="shared" si="11"/>
        <v>600575</v>
      </c>
      <c r="C21" s="2" t="str">
        <f t="shared" si="12"/>
        <v>皖江物流</v>
      </c>
      <c r="D21" s="2" t="str">
        <f t="shared" si="10"/>
        <v>担保品买入</v>
      </c>
      <c r="E21" s="2">
        <v>6.59</v>
      </c>
      <c r="F21" s="2">
        <v>2000</v>
      </c>
      <c r="G21" s="2">
        <v>13180</v>
      </c>
      <c r="H21" s="2">
        <v>5</v>
      </c>
      <c r="I21" s="2">
        <v>4.1</v>
      </c>
      <c r="J21" s="2">
        <v>0</v>
      </c>
      <c r="K21" s="2">
        <v>0.26</v>
      </c>
      <c r="L21" s="2">
        <v>0</v>
      </c>
      <c r="M21" s="2">
        <v>0</v>
      </c>
      <c r="N21" s="2">
        <v>-13185.26</v>
      </c>
      <c r="O21" s="2">
        <v>9859.36</v>
      </c>
      <c r="P21" s="2">
        <v>6000</v>
      </c>
      <c r="Q21" s="2" t="str">
        <f t="shared" ref="Q21:Q24" si="14">"E021635187"</f>
        <v>E021635187</v>
      </c>
      <c r="R21" s="2" t="str">
        <f t="shared" si="4"/>
        <v>人民币</v>
      </c>
      <c r="S21" s="2" t="str">
        <f>"1361000129"</f>
        <v>1361000129</v>
      </c>
    </row>
    <row r="22" spans="1:19">
      <c r="A22" s="2" t="str">
        <f t="shared" si="13"/>
        <v>20151210</v>
      </c>
      <c r="B22" s="2" t="str">
        <f t="shared" si="11"/>
        <v>600575</v>
      </c>
      <c r="C22" s="2" t="str">
        <f t="shared" si="12"/>
        <v>皖江物流</v>
      </c>
      <c r="D22" s="2" t="str">
        <f>"担保品卖出"</f>
        <v>担保品卖出</v>
      </c>
      <c r="E22" s="2">
        <v>6.67</v>
      </c>
      <c r="F22" s="2">
        <v>2000</v>
      </c>
      <c r="G22" s="2">
        <v>13340</v>
      </c>
      <c r="H22" s="2">
        <v>5</v>
      </c>
      <c r="I22" s="2">
        <v>4.09</v>
      </c>
      <c r="J22" s="2">
        <v>13.34</v>
      </c>
      <c r="K22" s="2">
        <v>0.27</v>
      </c>
      <c r="L22" s="2">
        <v>0</v>
      </c>
      <c r="M22" s="2">
        <v>0</v>
      </c>
      <c r="N22" s="2">
        <v>13321.39</v>
      </c>
      <c r="O22" s="2">
        <v>23180.75</v>
      </c>
      <c r="P22" s="2">
        <v>4000</v>
      </c>
      <c r="Q22" s="2" t="str">
        <f t="shared" si="14"/>
        <v>E021635187</v>
      </c>
      <c r="R22" s="2" t="str">
        <f t="shared" si="4"/>
        <v>人民币</v>
      </c>
      <c r="S22" s="2" t="str">
        <f>"1361000341"</f>
        <v>1361000341</v>
      </c>
    </row>
    <row r="23" spans="1:19">
      <c r="A23" s="2" t="str">
        <f t="shared" si="13"/>
        <v>20151210</v>
      </c>
      <c r="B23" s="2" t="str">
        <f t="shared" si="11"/>
        <v>600575</v>
      </c>
      <c r="C23" s="2" t="str">
        <f t="shared" si="12"/>
        <v>皖江物流</v>
      </c>
      <c r="D23" s="2" t="str">
        <f>"担保品买入"</f>
        <v>担保品买入</v>
      </c>
      <c r="E23" s="2">
        <v>6.58</v>
      </c>
      <c r="F23" s="2">
        <v>2000</v>
      </c>
      <c r="G23" s="2">
        <v>13160</v>
      </c>
      <c r="H23" s="2">
        <v>5</v>
      </c>
      <c r="I23" s="2">
        <v>4.1</v>
      </c>
      <c r="J23" s="2">
        <v>0</v>
      </c>
      <c r="K23" s="2">
        <v>0.26</v>
      </c>
      <c r="L23" s="2">
        <v>0</v>
      </c>
      <c r="M23" s="2">
        <v>0</v>
      </c>
      <c r="N23" s="2">
        <v>-13165.26</v>
      </c>
      <c r="O23" s="2">
        <v>10015.49</v>
      </c>
      <c r="P23" s="2">
        <v>6000</v>
      </c>
      <c r="Q23" s="2" t="str">
        <f t="shared" si="14"/>
        <v>E021635187</v>
      </c>
      <c r="R23" s="2" t="str">
        <f t="shared" si="4"/>
        <v>人民币</v>
      </c>
      <c r="S23" s="2" t="str">
        <f>"1361000408"</f>
        <v>1361000408</v>
      </c>
    </row>
    <row r="24" spans="1:19">
      <c r="A24" s="2" t="str">
        <f>"20151211"</f>
        <v>20151211</v>
      </c>
      <c r="B24" s="2" t="str">
        <f>"601607"</f>
        <v>601607</v>
      </c>
      <c r="C24" s="2" t="str">
        <f>"上海医药"</f>
        <v>上海医药</v>
      </c>
      <c r="D24" s="2" t="str">
        <f>"融资买入"</f>
        <v>融资买入</v>
      </c>
      <c r="E24" s="2">
        <v>18.38</v>
      </c>
      <c r="F24" s="2">
        <v>1000</v>
      </c>
      <c r="G24" s="2">
        <v>18380</v>
      </c>
      <c r="H24" s="2">
        <v>20.22</v>
      </c>
      <c r="I24" s="2">
        <v>18.96</v>
      </c>
      <c r="J24" s="2">
        <v>0</v>
      </c>
      <c r="K24" s="2">
        <v>0.37</v>
      </c>
      <c r="L24" s="2">
        <v>0</v>
      </c>
      <c r="M24" s="2">
        <v>0</v>
      </c>
      <c r="N24" s="2">
        <v>-18400.59</v>
      </c>
      <c r="O24" s="2">
        <v>-8385.1</v>
      </c>
      <c r="P24" s="2">
        <v>1000</v>
      </c>
      <c r="Q24" s="2" t="str">
        <f t="shared" si="14"/>
        <v>E021635187</v>
      </c>
      <c r="R24" s="2" t="str">
        <f t="shared" si="4"/>
        <v>人民币</v>
      </c>
      <c r="S24" s="2" t="str">
        <f>"1361000229"</f>
        <v>1361000229</v>
      </c>
    </row>
    <row r="25" spans="1:19">
      <c r="A25" s="2" t="str">
        <f>"20151211"</f>
        <v>20151211</v>
      </c>
      <c r="D25" s="2" t="str">
        <f>"融资借入"</f>
        <v>融资借入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18400.59</v>
      </c>
      <c r="O25" s="2">
        <v>10015.49</v>
      </c>
      <c r="P25" s="2">
        <v>0</v>
      </c>
      <c r="R25" s="2" t="str">
        <f t="shared" si="4"/>
        <v>人民币</v>
      </c>
      <c r="S25" s="2" t="str">
        <f>"1361000229"</f>
        <v>1361000229</v>
      </c>
    </row>
    <row r="26" spans="1:19">
      <c r="A26" s="2" t="str">
        <f>"20151215"</f>
        <v>20151215</v>
      </c>
      <c r="B26" s="2" t="str">
        <f>"600575"</f>
        <v>600575</v>
      </c>
      <c r="C26" s="2" t="str">
        <f>"皖江物流"</f>
        <v>皖江物流</v>
      </c>
      <c r="D26" s="2" t="str">
        <f>"担保品卖出"</f>
        <v>担保品卖出</v>
      </c>
      <c r="E26" s="2">
        <v>6.72</v>
      </c>
      <c r="F26" s="2">
        <v>2000</v>
      </c>
      <c r="G26" s="2">
        <v>13440</v>
      </c>
      <c r="H26" s="2">
        <v>5</v>
      </c>
      <c r="I26" s="2">
        <v>4.08</v>
      </c>
      <c r="J26" s="2">
        <v>13.44</v>
      </c>
      <c r="K26" s="2">
        <v>0.27</v>
      </c>
      <c r="L26" s="2">
        <v>0</v>
      </c>
      <c r="M26" s="2">
        <v>0</v>
      </c>
      <c r="N26" s="2">
        <v>13421.29</v>
      </c>
      <c r="O26" s="2">
        <v>23436.78</v>
      </c>
      <c r="P26" s="2">
        <v>4000</v>
      </c>
      <c r="Q26" s="2" t="str">
        <f>"E021635187"</f>
        <v>E021635187</v>
      </c>
      <c r="R26" s="2" t="str">
        <f t="shared" si="4"/>
        <v>人民币</v>
      </c>
      <c r="S26" s="2" t="str">
        <f>"1361000223"</f>
        <v>1361000223</v>
      </c>
    </row>
    <row r="27" spans="1:19">
      <c r="A27" s="2" t="str">
        <f>"20151215"</f>
        <v>20151215</v>
      </c>
      <c r="B27" s="2" t="str">
        <f>"000667"</f>
        <v>000667</v>
      </c>
      <c r="C27" s="2" t="str">
        <f>"美好集团"</f>
        <v>美好集团</v>
      </c>
      <c r="D27" s="2" t="str">
        <f>"担保品买入"</f>
        <v>担保品买入</v>
      </c>
      <c r="E27" s="2">
        <v>4.93</v>
      </c>
      <c r="F27" s="2">
        <v>2000</v>
      </c>
      <c r="G27" s="2">
        <v>9860</v>
      </c>
      <c r="H27" s="2">
        <v>5</v>
      </c>
      <c r="I27" s="2">
        <v>4.12</v>
      </c>
      <c r="J27" s="2">
        <v>0</v>
      </c>
      <c r="K27" s="2">
        <v>0</v>
      </c>
      <c r="L27" s="2">
        <v>0</v>
      </c>
      <c r="M27" s="2">
        <v>0</v>
      </c>
      <c r="N27" s="2">
        <v>-9865</v>
      </c>
      <c r="O27" s="2">
        <v>13571.78</v>
      </c>
      <c r="P27" s="2">
        <v>3000</v>
      </c>
      <c r="Q27" s="2" t="str">
        <f>"0602175409"</f>
        <v>0602175409</v>
      </c>
      <c r="R27" s="2" t="str">
        <f t="shared" si="4"/>
        <v>人民币</v>
      </c>
      <c r="S27" s="2" t="str">
        <f>"T4000897"</f>
        <v>T4000897</v>
      </c>
    </row>
    <row r="28" spans="1:18">
      <c r="A28" s="2" t="str">
        <f>"20151216"</f>
        <v>20151216</v>
      </c>
      <c r="D28" s="2" t="str">
        <f>"银行转证券"</f>
        <v>银行转证券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30000</v>
      </c>
      <c r="O28" s="2">
        <v>43571.78</v>
      </c>
      <c r="P28" s="2">
        <v>0</v>
      </c>
      <c r="R28" s="2" t="str">
        <f t="shared" si="4"/>
        <v>人民币</v>
      </c>
    </row>
    <row r="29" spans="1:19">
      <c r="A29" s="2" t="str">
        <f>"20151216"</f>
        <v>20151216</v>
      </c>
      <c r="B29" s="2" t="str">
        <f>"601607"</f>
        <v>601607</v>
      </c>
      <c r="C29" s="2" t="str">
        <f>"上海医药"</f>
        <v>上海医药</v>
      </c>
      <c r="D29" s="2" t="str">
        <f>"担保品买入"</f>
        <v>担保品买入</v>
      </c>
      <c r="E29" s="2">
        <v>18.85</v>
      </c>
      <c r="F29" s="2">
        <v>1000</v>
      </c>
      <c r="G29" s="2">
        <v>18850</v>
      </c>
      <c r="H29" s="2">
        <v>5.84</v>
      </c>
      <c r="I29" s="2">
        <v>4.54</v>
      </c>
      <c r="J29" s="2">
        <v>0</v>
      </c>
      <c r="K29" s="2">
        <v>0.38</v>
      </c>
      <c r="L29" s="2">
        <v>0</v>
      </c>
      <c r="M29" s="2">
        <v>0</v>
      </c>
      <c r="N29" s="2">
        <v>-18856.22</v>
      </c>
      <c r="O29" s="2">
        <v>24715.56</v>
      </c>
      <c r="P29" s="2">
        <v>2000</v>
      </c>
      <c r="Q29" s="2" t="str">
        <f t="shared" ref="Q29:Q37" si="15">"E021635187"</f>
        <v>E021635187</v>
      </c>
      <c r="R29" s="2" t="str">
        <f t="shared" si="4"/>
        <v>人民币</v>
      </c>
      <c r="S29" s="2" t="str">
        <f>"1361000120"</f>
        <v>1361000120</v>
      </c>
    </row>
    <row r="30" spans="1:18">
      <c r="A30" s="2" t="str">
        <f t="shared" ref="A30:A40" si="16">"20151221"</f>
        <v>20151221</v>
      </c>
      <c r="D30" s="2" t="str">
        <f>"银行转证券"</f>
        <v>银行转证券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30000</v>
      </c>
      <c r="O30" s="2">
        <v>54715.56</v>
      </c>
      <c r="P30" s="2">
        <v>0</v>
      </c>
      <c r="R30" s="2" t="str">
        <f t="shared" si="4"/>
        <v>人民币</v>
      </c>
    </row>
    <row r="31" spans="1:18">
      <c r="A31" s="2" t="str">
        <f t="shared" si="16"/>
        <v>20151221</v>
      </c>
      <c r="D31" s="2" t="str">
        <f>"利息归本"</f>
        <v>利息归本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34.76</v>
      </c>
      <c r="O31" s="2">
        <v>54750.32</v>
      </c>
      <c r="P31" s="2">
        <v>0</v>
      </c>
      <c r="R31" s="2" t="str">
        <f t="shared" si="4"/>
        <v>人民币</v>
      </c>
    </row>
    <row r="32" spans="1:19">
      <c r="A32" s="2" t="str">
        <f t="shared" si="16"/>
        <v>20151221</v>
      </c>
      <c r="B32" s="2" t="str">
        <f>"601607"</f>
        <v>601607</v>
      </c>
      <c r="C32" s="2" t="str">
        <f>"上海医药"</f>
        <v>上海医药</v>
      </c>
      <c r="D32" s="2" t="str">
        <f t="shared" ref="D32:D37" si="17">"担保品卖出"</f>
        <v>担保品卖出</v>
      </c>
      <c r="E32" s="2">
        <v>19.62</v>
      </c>
      <c r="F32" s="2">
        <v>500</v>
      </c>
      <c r="G32" s="2">
        <v>9810</v>
      </c>
      <c r="H32" s="2">
        <v>5</v>
      </c>
      <c r="I32" s="2">
        <v>4.32</v>
      </c>
      <c r="J32" s="2">
        <v>9.81</v>
      </c>
      <c r="K32" s="2">
        <v>0.2</v>
      </c>
      <c r="L32" s="2">
        <v>0</v>
      </c>
      <c r="M32" s="2">
        <v>0</v>
      </c>
      <c r="N32" s="2">
        <v>9794.99</v>
      </c>
      <c r="O32" s="2">
        <v>64545.31</v>
      </c>
      <c r="P32" s="2">
        <v>1500</v>
      </c>
      <c r="Q32" s="2" t="str">
        <f t="shared" si="15"/>
        <v>E021635187</v>
      </c>
      <c r="R32" s="2" t="str">
        <f t="shared" si="4"/>
        <v>人民币</v>
      </c>
      <c r="S32" s="2" t="str">
        <f>"1361000157"</f>
        <v>1361000157</v>
      </c>
    </row>
    <row r="33" spans="1:19">
      <c r="A33" s="2" t="str">
        <f t="shared" si="16"/>
        <v>20151221</v>
      </c>
      <c r="B33" s="2" t="str">
        <f>"600066"</f>
        <v>600066</v>
      </c>
      <c r="C33" s="2" t="str">
        <f>"宇通客车"</f>
        <v>宇通客车</v>
      </c>
      <c r="D33" s="2" t="str">
        <f t="shared" si="17"/>
        <v>担保品卖出</v>
      </c>
      <c r="E33" s="2">
        <v>22.82</v>
      </c>
      <c r="F33" s="2">
        <v>500</v>
      </c>
      <c r="G33" s="2">
        <v>11410</v>
      </c>
      <c r="H33" s="2">
        <v>5</v>
      </c>
      <c r="I33" s="2">
        <v>4.21</v>
      </c>
      <c r="J33" s="2">
        <v>11.41</v>
      </c>
      <c r="K33" s="2">
        <v>0.23</v>
      </c>
      <c r="L33" s="2">
        <v>0</v>
      </c>
      <c r="M33" s="2">
        <v>0</v>
      </c>
      <c r="N33" s="2">
        <v>11393.36</v>
      </c>
      <c r="O33" s="2">
        <v>75938.67</v>
      </c>
      <c r="P33" s="2">
        <v>1000</v>
      </c>
      <c r="Q33" s="2" t="str">
        <f t="shared" si="15"/>
        <v>E021635187</v>
      </c>
      <c r="R33" s="2" t="str">
        <f t="shared" si="4"/>
        <v>人民币</v>
      </c>
      <c r="S33" s="2" t="str">
        <f>"1361000211"</f>
        <v>1361000211</v>
      </c>
    </row>
    <row r="34" spans="1:19">
      <c r="A34" s="2" t="str">
        <f t="shared" si="16"/>
        <v>20151221</v>
      </c>
      <c r="B34" s="2" t="str">
        <f t="shared" ref="B34:B36" si="18">"600886"</f>
        <v>600886</v>
      </c>
      <c r="C34" s="2" t="str">
        <f t="shared" ref="C34:C36" si="19">"国投电力"</f>
        <v>国投电力</v>
      </c>
      <c r="D34" s="2" t="str">
        <f t="shared" ref="D34:D36" si="20">"担保品买入"</f>
        <v>担保品买入</v>
      </c>
      <c r="E34" s="2">
        <v>8.81</v>
      </c>
      <c r="F34" s="2">
        <v>1000</v>
      </c>
      <c r="G34" s="2">
        <v>8810</v>
      </c>
      <c r="H34" s="2">
        <v>5</v>
      </c>
      <c r="I34" s="2">
        <v>4.39</v>
      </c>
      <c r="J34" s="2">
        <v>0</v>
      </c>
      <c r="K34" s="2">
        <v>0.18</v>
      </c>
      <c r="L34" s="2">
        <v>0</v>
      </c>
      <c r="M34" s="2">
        <v>0</v>
      </c>
      <c r="N34" s="2">
        <v>-8815.18</v>
      </c>
      <c r="O34" s="2">
        <v>67123.49</v>
      </c>
      <c r="P34" s="2">
        <v>1000</v>
      </c>
      <c r="Q34" s="2" t="str">
        <f t="shared" si="15"/>
        <v>E021635187</v>
      </c>
      <c r="R34" s="2" t="str">
        <f t="shared" si="4"/>
        <v>人民币</v>
      </c>
      <c r="S34" s="2" t="str">
        <f>"1361000282"</f>
        <v>1361000282</v>
      </c>
    </row>
    <row r="35" spans="1:19">
      <c r="A35" s="2" t="str">
        <f t="shared" si="16"/>
        <v>20151221</v>
      </c>
      <c r="B35" s="2" t="str">
        <f t="shared" si="18"/>
        <v>600886</v>
      </c>
      <c r="C35" s="2" t="str">
        <f t="shared" si="19"/>
        <v>国投电力</v>
      </c>
      <c r="D35" s="2" t="str">
        <f t="shared" si="20"/>
        <v>担保品买入</v>
      </c>
      <c r="E35" s="2">
        <v>8.87</v>
      </c>
      <c r="F35" s="2">
        <v>1000</v>
      </c>
      <c r="G35" s="2">
        <v>8870</v>
      </c>
      <c r="H35" s="2">
        <v>5</v>
      </c>
      <c r="I35" s="2">
        <v>4.39</v>
      </c>
      <c r="J35" s="2">
        <v>0</v>
      </c>
      <c r="K35" s="2">
        <v>0.18</v>
      </c>
      <c r="L35" s="2">
        <v>0</v>
      </c>
      <c r="M35" s="2">
        <v>0</v>
      </c>
      <c r="N35" s="2">
        <v>-8875.18</v>
      </c>
      <c r="O35" s="2">
        <v>58248.31</v>
      </c>
      <c r="P35" s="2">
        <v>2000</v>
      </c>
      <c r="Q35" s="2" t="str">
        <f t="shared" si="15"/>
        <v>E021635187</v>
      </c>
      <c r="R35" s="2" t="str">
        <f t="shared" si="4"/>
        <v>人民币</v>
      </c>
      <c r="S35" s="2" t="str">
        <f>"1361000446"</f>
        <v>1361000446</v>
      </c>
    </row>
    <row r="36" spans="1:19">
      <c r="A36" s="2" t="str">
        <f t="shared" si="16"/>
        <v>20151221</v>
      </c>
      <c r="B36" s="2" t="str">
        <f t="shared" si="18"/>
        <v>600886</v>
      </c>
      <c r="C36" s="2" t="str">
        <f t="shared" si="19"/>
        <v>国投电力</v>
      </c>
      <c r="D36" s="2" t="str">
        <f t="shared" si="20"/>
        <v>担保品买入</v>
      </c>
      <c r="E36" s="2">
        <v>8.99</v>
      </c>
      <c r="F36" s="2">
        <v>2000</v>
      </c>
      <c r="G36" s="2">
        <v>17980</v>
      </c>
      <c r="H36" s="2">
        <v>5.57</v>
      </c>
      <c r="I36" s="2">
        <v>4.33</v>
      </c>
      <c r="J36" s="2">
        <v>0</v>
      </c>
      <c r="K36" s="2">
        <v>0.36</v>
      </c>
      <c r="L36" s="2">
        <v>0</v>
      </c>
      <c r="M36" s="2">
        <v>0</v>
      </c>
      <c r="N36" s="2">
        <v>-17985.93</v>
      </c>
      <c r="O36" s="2">
        <v>40262.38</v>
      </c>
      <c r="P36" s="2">
        <v>4000</v>
      </c>
      <c r="Q36" s="2" t="str">
        <f t="shared" si="15"/>
        <v>E021635187</v>
      </c>
      <c r="R36" s="2" t="str">
        <f t="shared" si="4"/>
        <v>人民币</v>
      </c>
      <c r="S36" s="2" t="str">
        <f>"1361000561"</f>
        <v>1361000561</v>
      </c>
    </row>
    <row r="37" spans="1:19">
      <c r="A37" s="2" t="str">
        <f t="shared" si="16"/>
        <v>20151221</v>
      </c>
      <c r="B37" s="2" t="str">
        <f>"601607"</f>
        <v>601607</v>
      </c>
      <c r="C37" s="2" t="str">
        <f>"上海医药"</f>
        <v>上海医药</v>
      </c>
      <c r="D37" s="2" t="str">
        <f t="shared" si="17"/>
        <v>担保品卖出</v>
      </c>
      <c r="E37" s="2">
        <v>20.11</v>
      </c>
      <c r="F37" s="2">
        <v>500</v>
      </c>
      <c r="G37" s="2">
        <v>10055</v>
      </c>
      <c r="H37" s="2">
        <v>5</v>
      </c>
      <c r="I37" s="2">
        <v>4.31</v>
      </c>
      <c r="J37" s="2">
        <v>10.06</v>
      </c>
      <c r="K37" s="2">
        <v>0.2</v>
      </c>
      <c r="L37" s="2">
        <v>0</v>
      </c>
      <c r="M37" s="2">
        <v>0</v>
      </c>
      <c r="N37" s="2">
        <v>10039.74</v>
      </c>
      <c r="O37" s="2">
        <v>50302.12</v>
      </c>
      <c r="P37" s="2">
        <v>1000</v>
      </c>
      <c r="Q37" s="2" t="str">
        <f t="shared" si="15"/>
        <v>E021635187</v>
      </c>
      <c r="R37" s="2" t="str">
        <f t="shared" si="4"/>
        <v>人民币</v>
      </c>
      <c r="S37" s="2" t="str">
        <f>"1361000684"</f>
        <v>1361000684</v>
      </c>
    </row>
    <row r="38" spans="1:18">
      <c r="A38" s="2" t="str">
        <f t="shared" si="16"/>
        <v>20151221</v>
      </c>
      <c r="D38" s="2" t="str">
        <f>"偿还融资利息"</f>
        <v>偿还融资利息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-42.7</v>
      </c>
      <c r="O38" s="2">
        <v>50259.42</v>
      </c>
      <c r="P38" s="2">
        <v>0</v>
      </c>
      <c r="R38" s="2" t="str">
        <f t="shared" si="4"/>
        <v>人民币</v>
      </c>
    </row>
    <row r="39" spans="1:19">
      <c r="A39" s="2" t="str">
        <f t="shared" si="16"/>
        <v>20151221</v>
      </c>
      <c r="D39" s="2" t="str">
        <f>"偿还融资负债本金"</f>
        <v>偿还融资负债本金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-9770.56</v>
      </c>
      <c r="O39" s="2">
        <v>40488.86</v>
      </c>
      <c r="P39" s="2">
        <v>0</v>
      </c>
      <c r="R39" s="2" t="str">
        <f t="shared" si="4"/>
        <v>人民币</v>
      </c>
      <c r="S39" s="2" t="str">
        <f>"1361000157"</f>
        <v>1361000157</v>
      </c>
    </row>
    <row r="40" spans="1:19">
      <c r="A40" s="2" t="str">
        <f t="shared" si="16"/>
        <v>20151221</v>
      </c>
      <c r="D40" s="2" t="str">
        <f>"偿还融资负债本金"</f>
        <v>偿还融资负债本金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-8630.03</v>
      </c>
      <c r="O40" s="2">
        <v>31858.83</v>
      </c>
      <c r="P40" s="2">
        <v>0</v>
      </c>
      <c r="R40" s="2" t="str">
        <f t="shared" si="4"/>
        <v>人民币</v>
      </c>
      <c r="S40" s="2" t="str">
        <f>"1361000684"</f>
        <v>1361000684</v>
      </c>
    </row>
    <row r="41" spans="1:19">
      <c r="A41" s="2" t="str">
        <f>"20151222"</f>
        <v>20151222</v>
      </c>
      <c r="B41" s="2" t="str">
        <f>"601607"</f>
        <v>601607</v>
      </c>
      <c r="C41" s="2" t="str">
        <f>"上海医药"</f>
        <v>上海医药</v>
      </c>
      <c r="D41" s="2" t="str">
        <f t="shared" ref="D41:D43" si="21">"担保品卖出"</f>
        <v>担保品卖出</v>
      </c>
      <c r="E41" s="2">
        <v>19.87</v>
      </c>
      <c r="F41" s="2">
        <v>1000</v>
      </c>
      <c r="G41" s="2">
        <v>19870</v>
      </c>
      <c r="H41" s="2">
        <v>6.16</v>
      </c>
      <c r="I41" s="2">
        <v>4.79</v>
      </c>
      <c r="J41" s="2">
        <v>19.87</v>
      </c>
      <c r="K41" s="2">
        <v>0.4</v>
      </c>
      <c r="L41" s="2">
        <v>0</v>
      </c>
      <c r="M41" s="2">
        <v>0</v>
      </c>
      <c r="N41" s="2">
        <v>19843.57</v>
      </c>
      <c r="O41" s="2">
        <v>51702.4</v>
      </c>
      <c r="P41" s="2">
        <v>0</v>
      </c>
      <c r="Q41" s="2" t="str">
        <f t="shared" ref="Q41:Q48" si="22">"E021635187"</f>
        <v>E021635187</v>
      </c>
      <c r="R41" s="2" t="str">
        <f t="shared" si="4"/>
        <v>人民币</v>
      </c>
      <c r="S41" s="2" t="str">
        <f>"1361000313"</f>
        <v>1361000313</v>
      </c>
    </row>
    <row r="42" spans="1:19">
      <c r="A42" s="2" t="str">
        <f>"20151222"</f>
        <v>20151222</v>
      </c>
      <c r="B42" s="2" t="str">
        <f>"600066"</f>
        <v>600066</v>
      </c>
      <c r="C42" s="2" t="str">
        <f>"宇通客车"</f>
        <v>宇通客车</v>
      </c>
      <c r="D42" s="2" t="str">
        <f t="shared" si="21"/>
        <v>担保品卖出</v>
      </c>
      <c r="E42" s="2">
        <v>22.77</v>
      </c>
      <c r="F42" s="2">
        <v>500</v>
      </c>
      <c r="G42" s="2">
        <v>11385</v>
      </c>
      <c r="H42" s="2">
        <v>5</v>
      </c>
      <c r="I42" s="2">
        <v>4.21</v>
      </c>
      <c r="J42" s="2">
        <v>11.39</v>
      </c>
      <c r="K42" s="2">
        <v>0.23</v>
      </c>
      <c r="L42" s="2">
        <v>0</v>
      </c>
      <c r="M42" s="2">
        <v>0</v>
      </c>
      <c r="N42" s="2">
        <v>11368.38</v>
      </c>
      <c r="O42" s="2">
        <v>63070.78</v>
      </c>
      <c r="P42" s="2">
        <v>500</v>
      </c>
      <c r="Q42" s="2" t="str">
        <f t="shared" si="22"/>
        <v>E021635187</v>
      </c>
      <c r="R42" s="2" t="str">
        <f t="shared" si="4"/>
        <v>人民币</v>
      </c>
      <c r="S42" s="2" t="str">
        <f>"1361000357"</f>
        <v>1361000357</v>
      </c>
    </row>
    <row r="43" spans="1:19">
      <c r="A43" s="2" t="str">
        <f t="shared" ref="A43:A46" si="23">"20151223"</f>
        <v>20151223</v>
      </c>
      <c r="B43" s="2" t="str">
        <f>"600575"</f>
        <v>600575</v>
      </c>
      <c r="C43" s="2" t="str">
        <f>"皖江物流"</f>
        <v>皖江物流</v>
      </c>
      <c r="D43" s="2" t="str">
        <f t="shared" si="21"/>
        <v>担保品卖出</v>
      </c>
      <c r="E43" s="2">
        <v>6.74</v>
      </c>
      <c r="F43" s="2">
        <v>2000</v>
      </c>
      <c r="G43" s="2">
        <v>13480</v>
      </c>
      <c r="H43" s="2">
        <v>5</v>
      </c>
      <c r="I43" s="2">
        <v>4.07</v>
      </c>
      <c r="J43" s="2">
        <v>13.48</v>
      </c>
      <c r="K43" s="2">
        <v>0.27</v>
      </c>
      <c r="L43" s="2">
        <v>0</v>
      </c>
      <c r="M43" s="2">
        <v>0</v>
      </c>
      <c r="N43" s="2">
        <v>13461.25</v>
      </c>
      <c r="O43" s="2">
        <v>76532.03</v>
      </c>
      <c r="P43" s="2">
        <v>2000</v>
      </c>
      <c r="Q43" s="2" t="str">
        <f t="shared" si="22"/>
        <v>E021635187</v>
      </c>
      <c r="R43" s="2" t="str">
        <f t="shared" si="4"/>
        <v>人民币</v>
      </c>
      <c r="S43" s="2" t="str">
        <f>"1361000280"</f>
        <v>1361000280</v>
      </c>
    </row>
    <row r="44" spans="1:19">
      <c r="A44" s="2" t="str">
        <f t="shared" si="23"/>
        <v>20151223</v>
      </c>
      <c r="B44" s="2" t="str">
        <f>"600066"</f>
        <v>600066</v>
      </c>
      <c r="C44" s="2" t="str">
        <f>"宇通客车"</f>
        <v>宇通客车</v>
      </c>
      <c r="D44" s="2" t="str">
        <f t="shared" ref="D44:D47" si="24">"担保品买入"</f>
        <v>担保品买入</v>
      </c>
      <c r="E44" s="2">
        <v>22.578</v>
      </c>
      <c r="F44" s="2">
        <v>500</v>
      </c>
      <c r="G44" s="2">
        <v>11289</v>
      </c>
      <c r="H44" s="2">
        <v>5</v>
      </c>
      <c r="I44" s="2">
        <v>4.22</v>
      </c>
      <c r="J44" s="2">
        <v>0</v>
      </c>
      <c r="K44" s="2">
        <v>0.23</v>
      </c>
      <c r="L44" s="2">
        <v>0</v>
      </c>
      <c r="M44" s="2">
        <v>0</v>
      </c>
      <c r="N44" s="2">
        <v>-11294.23</v>
      </c>
      <c r="O44" s="2">
        <v>65237.8</v>
      </c>
      <c r="P44" s="2">
        <v>1000</v>
      </c>
      <c r="Q44" s="2" t="str">
        <f t="shared" si="22"/>
        <v>E021635187</v>
      </c>
      <c r="R44" s="2" t="str">
        <f t="shared" si="4"/>
        <v>人民币</v>
      </c>
      <c r="S44" s="2" t="str">
        <f>"1361000438"</f>
        <v>1361000438</v>
      </c>
    </row>
    <row r="45" spans="1:19">
      <c r="A45" s="2" t="str">
        <f t="shared" si="23"/>
        <v>20151223</v>
      </c>
      <c r="B45" s="2" t="str">
        <f t="shared" ref="B45:B48" si="25">"600886"</f>
        <v>600886</v>
      </c>
      <c r="C45" s="2" t="str">
        <f t="shared" ref="C45:C48" si="26">"国投电力"</f>
        <v>国投电力</v>
      </c>
      <c r="D45" s="2" t="str">
        <f t="shared" si="24"/>
        <v>担保品买入</v>
      </c>
      <c r="E45" s="2">
        <v>8.91</v>
      </c>
      <c r="F45" s="2">
        <v>2000</v>
      </c>
      <c r="G45" s="2">
        <v>17820</v>
      </c>
      <c r="H45" s="2">
        <v>5.52</v>
      </c>
      <c r="I45" s="2">
        <v>4.29</v>
      </c>
      <c r="J45" s="2">
        <v>0</v>
      </c>
      <c r="K45" s="2">
        <v>0.36</v>
      </c>
      <c r="L45" s="2">
        <v>0</v>
      </c>
      <c r="M45" s="2">
        <v>0</v>
      </c>
      <c r="N45" s="2">
        <v>-17825.88</v>
      </c>
      <c r="O45" s="2">
        <v>47411.92</v>
      </c>
      <c r="P45" s="2">
        <v>6000</v>
      </c>
      <c r="Q45" s="2" t="str">
        <f t="shared" si="22"/>
        <v>E021635187</v>
      </c>
      <c r="R45" s="2" t="str">
        <f t="shared" si="4"/>
        <v>人民币</v>
      </c>
      <c r="S45" s="2" t="str">
        <f>"1361000447"</f>
        <v>1361000447</v>
      </c>
    </row>
    <row r="46" spans="1:19">
      <c r="A46" s="2" t="str">
        <f t="shared" si="23"/>
        <v>20151223</v>
      </c>
      <c r="B46" s="2" t="str">
        <f>"600575"</f>
        <v>600575</v>
      </c>
      <c r="C46" s="2" t="str">
        <f>"皖江物流"</f>
        <v>皖江物流</v>
      </c>
      <c r="D46" s="2" t="str">
        <f t="shared" si="24"/>
        <v>担保品买入</v>
      </c>
      <c r="E46" s="2">
        <v>6.64</v>
      </c>
      <c r="F46" s="2">
        <v>2000</v>
      </c>
      <c r="G46" s="2">
        <v>13280</v>
      </c>
      <c r="H46" s="2">
        <v>5</v>
      </c>
      <c r="I46" s="2">
        <v>4.08</v>
      </c>
      <c r="J46" s="2">
        <v>0</v>
      </c>
      <c r="K46" s="2">
        <v>0.27</v>
      </c>
      <c r="L46" s="2">
        <v>0</v>
      </c>
      <c r="M46" s="2">
        <v>0</v>
      </c>
      <c r="N46" s="2">
        <v>-13285.27</v>
      </c>
      <c r="O46" s="2">
        <v>34126.65</v>
      </c>
      <c r="P46" s="2">
        <v>4000</v>
      </c>
      <c r="Q46" s="2" t="str">
        <f t="shared" si="22"/>
        <v>E021635187</v>
      </c>
      <c r="R46" s="2" t="str">
        <f t="shared" si="4"/>
        <v>人民币</v>
      </c>
      <c r="S46" s="2" t="str">
        <f>"1361000734"</f>
        <v>1361000734</v>
      </c>
    </row>
    <row r="47" spans="1:19">
      <c r="A47" s="2" t="str">
        <f t="shared" ref="A47:A49" si="27">"20151224"</f>
        <v>20151224</v>
      </c>
      <c r="B47" s="2" t="str">
        <f t="shared" si="25"/>
        <v>600886</v>
      </c>
      <c r="C47" s="2" t="str">
        <f t="shared" si="26"/>
        <v>国投电力</v>
      </c>
      <c r="D47" s="2" t="str">
        <f t="shared" si="24"/>
        <v>担保品买入</v>
      </c>
      <c r="E47" s="2">
        <v>8.85</v>
      </c>
      <c r="F47" s="2">
        <v>2000</v>
      </c>
      <c r="G47" s="2">
        <v>17700</v>
      </c>
      <c r="H47" s="2">
        <v>5.49</v>
      </c>
      <c r="I47" s="2">
        <v>4.27</v>
      </c>
      <c r="J47" s="2">
        <v>0</v>
      </c>
      <c r="K47" s="2">
        <v>0.35</v>
      </c>
      <c r="L47" s="2">
        <v>0</v>
      </c>
      <c r="M47" s="2">
        <v>0</v>
      </c>
      <c r="N47" s="2">
        <v>-17705.84</v>
      </c>
      <c r="O47" s="2">
        <v>16420.81</v>
      </c>
      <c r="P47" s="2">
        <v>8000</v>
      </c>
      <c r="Q47" s="2" t="str">
        <f t="shared" si="22"/>
        <v>E021635187</v>
      </c>
      <c r="R47" s="2" t="str">
        <f t="shared" si="4"/>
        <v>人民币</v>
      </c>
      <c r="S47" s="2" t="str">
        <f>"1361000416"</f>
        <v>1361000416</v>
      </c>
    </row>
    <row r="48" spans="1:19">
      <c r="A48" s="2" t="str">
        <f t="shared" si="27"/>
        <v>20151224</v>
      </c>
      <c r="B48" s="2" t="str">
        <f t="shared" si="25"/>
        <v>600886</v>
      </c>
      <c r="C48" s="2" t="str">
        <f t="shared" si="26"/>
        <v>国投电力</v>
      </c>
      <c r="D48" s="2" t="str">
        <f>"融资买入"</f>
        <v>融资买入</v>
      </c>
      <c r="E48" s="2">
        <v>8.72</v>
      </c>
      <c r="F48" s="2">
        <v>2000</v>
      </c>
      <c r="G48" s="2">
        <v>17440</v>
      </c>
      <c r="H48" s="2">
        <v>19.18</v>
      </c>
      <c r="I48" s="2">
        <v>17.98</v>
      </c>
      <c r="J48" s="2">
        <v>0</v>
      </c>
      <c r="K48" s="2">
        <v>0.35</v>
      </c>
      <c r="L48" s="2">
        <v>0</v>
      </c>
      <c r="M48" s="2">
        <v>0</v>
      </c>
      <c r="N48" s="2">
        <v>-17459.53</v>
      </c>
      <c r="O48" s="2">
        <v>-1038.72</v>
      </c>
      <c r="P48" s="2">
        <v>10000</v>
      </c>
      <c r="Q48" s="2" t="str">
        <f t="shared" si="22"/>
        <v>E021635187</v>
      </c>
      <c r="R48" s="2" t="str">
        <f t="shared" si="4"/>
        <v>人民币</v>
      </c>
      <c r="S48" s="2" t="str">
        <f>"1361000491"</f>
        <v>1361000491</v>
      </c>
    </row>
    <row r="49" spans="1:19">
      <c r="A49" s="2" t="str">
        <f t="shared" si="27"/>
        <v>20151224</v>
      </c>
      <c r="D49" s="2" t="str">
        <f>"融资借入"</f>
        <v>融资借入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17459.53</v>
      </c>
      <c r="O49" s="2">
        <v>16420.81</v>
      </c>
      <c r="P49" s="2">
        <v>0</v>
      </c>
      <c r="R49" s="2" t="str">
        <f t="shared" si="4"/>
        <v>人民币</v>
      </c>
      <c r="S49" s="2" t="str">
        <f>"1361000491"</f>
        <v>1361000491</v>
      </c>
    </row>
    <row r="50" spans="1:19">
      <c r="A50" s="2" t="str">
        <f t="shared" ref="A50:A52" si="28">"20151228"</f>
        <v>20151228</v>
      </c>
      <c r="B50" s="2" t="str">
        <f>"002154"</f>
        <v>002154</v>
      </c>
      <c r="C50" s="2" t="str">
        <f>"报 喜 鸟"</f>
        <v>报 喜 鸟</v>
      </c>
      <c r="D50" s="2" t="str">
        <f>"担保品买入"</f>
        <v>担保品买入</v>
      </c>
      <c r="E50" s="2">
        <v>7.8</v>
      </c>
      <c r="F50" s="2">
        <v>1000</v>
      </c>
      <c r="G50" s="2">
        <v>7800</v>
      </c>
      <c r="H50" s="2">
        <v>5</v>
      </c>
      <c r="I50" s="2">
        <v>4.31</v>
      </c>
      <c r="J50" s="2">
        <v>0</v>
      </c>
      <c r="K50" s="2">
        <v>0</v>
      </c>
      <c r="L50" s="2">
        <v>0</v>
      </c>
      <c r="M50" s="2">
        <v>0</v>
      </c>
      <c r="N50" s="2">
        <v>-7805</v>
      </c>
      <c r="O50" s="2">
        <v>8615.81</v>
      </c>
      <c r="P50" s="2">
        <v>1000</v>
      </c>
      <c r="Q50" s="2" t="str">
        <f>"0602175409"</f>
        <v>0602175409</v>
      </c>
      <c r="R50" s="2" t="str">
        <f t="shared" si="4"/>
        <v>人民币</v>
      </c>
      <c r="S50" s="2" t="str">
        <f>"T4000594"</f>
        <v>T4000594</v>
      </c>
    </row>
    <row r="51" spans="1:19">
      <c r="A51" s="2" t="str">
        <f t="shared" si="28"/>
        <v>20151228</v>
      </c>
      <c r="B51" s="2" t="str">
        <f>"000667"</f>
        <v>000667</v>
      </c>
      <c r="C51" s="2" t="str">
        <f>"美好集团"</f>
        <v>美好集团</v>
      </c>
      <c r="D51" s="2" t="str">
        <f>"融资买入"</f>
        <v>融资买入</v>
      </c>
      <c r="E51" s="2">
        <v>5.04</v>
      </c>
      <c r="F51" s="2">
        <v>3000</v>
      </c>
      <c r="G51" s="2">
        <v>15120</v>
      </c>
      <c r="H51" s="2">
        <v>16.63</v>
      </c>
      <c r="I51" s="2">
        <v>15.29</v>
      </c>
      <c r="J51" s="2">
        <v>0</v>
      </c>
      <c r="K51" s="2">
        <v>0</v>
      </c>
      <c r="L51" s="2">
        <v>0</v>
      </c>
      <c r="M51" s="2">
        <v>0</v>
      </c>
      <c r="N51" s="2">
        <v>-15136.63</v>
      </c>
      <c r="O51" s="2">
        <v>-6520.82</v>
      </c>
      <c r="P51" s="2">
        <v>6000</v>
      </c>
      <c r="Q51" s="2" t="str">
        <f>"0602175409"</f>
        <v>0602175409</v>
      </c>
      <c r="R51" s="2" t="str">
        <f t="shared" si="4"/>
        <v>人民币</v>
      </c>
      <c r="S51" s="2" t="str">
        <f>"T4000774"</f>
        <v>T4000774</v>
      </c>
    </row>
    <row r="52" spans="1:19">
      <c r="A52" s="2" t="str">
        <f t="shared" si="28"/>
        <v>20151228</v>
      </c>
      <c r="D52" s="2" t="str">
        <f>"融资借入"</f>
        <v>融资借入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15136.63</v>
      </c>
      <c r="O52" s="2">
        <v>8615.81</v>
      </c>
      <c r="P52" s="2">
        <v>0</v>
      </c>
      <c r="R52" s="2" t="str">
        <f t="shared" si="4"/>
        <v>人民币</v>
      </c>
      <c r="S52" s="2" t="str">
        <f>"T4000774"</f>
        <v>T4000774</v>
      </c>
    </row>
    <row r="53" spans="1:18">
      <c r="A53" s="2" t="str">
        <f t="shared" ref="A53:A58" si="29">"20151229"</f>
        <v>20151229</v>
      </c>
      <c r="D53" s="2" t="str">
        <f>"银行转证券"</f>
        <v>银行转证券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20000</v>
      </c>
      <c r="O53" s="2">
        <v>28615.81</v>
      </c>
      <c r="P53" s="2">
        <v>0</v>
      </c>
      <c r="R53" s="2" t="str">
        <f t="shared" si="4"/>
        <v>人民币</v>
      </c>
    </row>
    <row r="54" spans="1:19">
      <c r="A54" s="2" t="str">
        <f t="shared" si="29"/>
        <v>20151229</v>
      </c>
      <c r="B54" s="2" t="str">
        <f>"600886"</f>
        <v>600886</v>
      </c>
      <c r="C54" s="2" t="str">
        <f>"国投电力"</f>
        <v>国投电力</v>
      </c>
      <c r="D54" s="2" t="str">
        <f>"融资买入"</f>
        <v>融资买入</v>
      </c>
      <c r="E54" s="2">
        <v>8.39</v>
      </c>
      <c r="F54" s="2">
        <v>2000</v>
      </c>
      <c r="G54" s="2">
        <v>16780</v>
      </c>
      <c r="H54" s="2">
        <v>18.46</v>
      </c>
      <c r="I54" s="2">
        <v>17.3</v>
      </c>
      <c r="J54" s="2">
        <v>0</v>
      </c>
      <c r="K54" s="2">
        <v>0.34</v>
      </c>
      <c r="L54" s="2">
        <v>0</v>
      </c>
      <c r="M54" s="2">
        <v>0</v>
      </c>
      <c r="N54" s="2">
        <v>-16798.8</v>
      </c>
      <c r="O54" s="2">
        <v>11817.01</v>
      </c>
      <c r="P54" s="2">
        <v>12000</v>
      </c>
      <c r="Q54" s="2" t="str">
        <f t="shared" ref="Q54:Q56" si="30">"E021635187"</f>
        <v>E021635187</v>
      </c>
      <c r="R54" s="2" t="str">
        <f t="shared" si="4"/>
        <v>人民币</v>
      </c>
      <c r="S54" s="2" t="str">
        <f>"1361000030"</f>
        <v>1361000030</v>
      </c>
    </row>
    <row r="55" spans="1:19">
      <c r="A55" s="2" t="str">
        <f t="shared" si="29"/>
        <v>20151229</v>
      </c>
      <c r="B55" s="2" t="str">
        <f>"600575"</f>
        <v>600575</v>
      </c>
      <c r="C55" s="2" t="str">
        <f>"皖江物流"</f>
        <v>皖江物流</v>
      </c>
      <c r="D55" s="2" t="str">
        <f t="shared" ref="D55:D60" si="31">"担保品卖出"</f>
        <v>担保品卖出</v>
      </c>
      <c r="E55" s="2">
        <v>6.2</v>
      </c>
      <c r="F55" s="2">
        <v>4000</v>
      </c>
      <c r="G55" s="2">
        <v>24800</v>
      </c>
      <c r="H55" s="2">
        <v>7.69</v>
      </c>
      <c r="I55" s="2">
        <v>5.98</v>
      </c>
      <c r="J55" s="2">
        <v>24.8</v>
      </c>
      <c r="K55" s="2">
        <v>0.5</v>
      </c>
      <c r="L55" s="2">
        <v>0</v>
      </c>
      <c r="M55" s="2">
        <v>0</v>
      </c>
      <c r="N55" s="2">
        <v>24767.01</v>
      </c>
      <c r="O55" s="2">
        <v>36584.02</v>
      </c>
      <c r="P55" s="2">
        <v>0</v>
      </c>
      <c r="Q55" s="2" t="str">
        <f t="shared" si="30"/>
        <v>E021635187</v>
      </c>
      <c r="R55" s="2" t="str">
        <f t="shared" si="4"/>
        <v>人民币</v>
      </c>
      <c r="S55" s="2" t="str">
        <f>"1361000217"</f>
        <v>1361000217</v>
      </c>
    </row>
    <row r="56" spans="1:19">
      <c r="A56" s="2" t="str">
        <f t="shared" si="29"/>
        <v>20151229</v>
      </c>
      <c r="B56" s="2" t="str">
        <f>"601607"</f>
        <v>601607</v>
      </c>
      <c r="C56" s="2" t="str">
        <f>"上海医药"</f>
        <v>上海医药</v>
      </c>
      <c r="D56" s="2" t="str">
        <f>"担保品买入"</f>
        <v>担保品买入</v>
      </c>
      <c r="E56" s="2">
        <v>19.32</v>
      </c>
      <c r="F56" s="2">
        <v>1000</v>
      </c>
      <c r="G56" s="2">
        <v>19320</v>
      </c>
      <c r="H56" s="2">
        <v>5.99</v>
      </c>
      <c r="I56" s="2">
        <v>4.66</v>
      </c>
      <c r="J56" s="2">
        <v>0</v>
      </c>
      <c r="K56" s="2">
        <v>0.39</v>
      </c>
      <c r="L56" s="2">
        <v>0</v>
      </c>
      <c r="M56" s="2">
        <v>0</v>
      </c>
      <c r="N56" s="2">
        <v>-19326.38</v>
      </c>
      <c r="O56" s="2">
        <v>17257.64</v>
      </c>
      <c r="P56" s="2">
        <v>1000</v>
      </c>
      <c r="Q56" s="2" t="str">
        <f t="shared" si="30"/>
        <v>E021635187</v>
      </c>
      <c r="R56" s="2" t="str">
        <f t="shared" si="4"/>
        <v>人民币</v>
      </c>
      <c r="S56" s="2" t="str">
        <f>"1361000225"</f>
        <v>1361000225</v>
      </c>
    </row>
    <row r="57" spans="1:19">
      <c r="A57" s="2" t="str">
        <f t="shared" si="29"/>
        <v>20151229</v>
      </c>
      <c r="B57" s="2" t="str">
        <f>"000667"</f>
        <v>000667</v>
      </c>
      <c r="C57" s="2" t="str">
        <f>"美好集团"</f>
        <v>美好集团</v>
      </c>
      <c r="D57" s="2" t="str">
        <f>"担保品买入"</f>
        <v>担保品买入</v>
      </c>
      <c r="E57" s="2">
        <v>5</v>
      </c>
      <c r="F57" s="2">
        <v>4000</v>
      </c>
      <c r="G57" s="2">
        <v>20000</v>
      </c>
      <c r="H57" s="2">
        <v>6.2</v>
      </c>
      <c r="I57" s="2">
        <v>4.43</v>
      </c>
      <c r="J57" s="2">
        <v>0</v>
      </c>
      <c r="K57" s="2">
        <v>0</v>
      </c>
      <c r="L57" s="2">
        <v>0</v>
      </c>
      <c r="M57" s="2">
        <v>0</v>
      </c>
      <c r="N57" s="2">
        <v>-20006.2</v>
      </c>
      <c r="O57" s="2">
        <v>-2748.56</v>
      </c>
      <c r="P57" s="2">
        <v>10000</v>
      </c>
      <c r="Q57" s="2" t="str">
        <f>"0602175409"</f>
        <v>0602175409</v>
      </c>
      <c r="R57" s="2" t="str">
        <f t="shared" si="4"/>
        <v>人民币</v>
      </c>
      <c r="S57" s="2" t="str">
        <f>"T4000752"</f>
        <v>T4000752</v>
      </c>
    </row>
    <row r="58" spans="1:19">
      <c r="A58" s="2" t="str">
        <f t="shared" si="29"/>
        <v>20151229</v>
      </c>
      <c r="D58" s="2" t="str">
        <f>"融资借入"</f>
        <v>融资借入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16798.8</v>
      </c>
      <c r="O58" s="2">
        <v>14050.24</v>
      </c>
      <c r="P58" s="2">
        <v>0</v>
      </c>
      <c r="R58" s="2" t="str">
        <f t="shared" si="4"/>
        <v>人民币</v>
      </c>
      <c r="S58" s="2" t="str">
        <f>"1361000030"</f>
        <v>1361000030</v>
      </c>
    </row>
    <row r="59" spans="1:19">
      <c r="A59" s="2" t="str">
        <f>"20151230"</f>
        <v>20151230</v>
      </c>
      <c r="B59" s="2" t="str">
        <f>"601607"</f>
        <v>601607</v>
      </c>
      <c r="C59" s="2" t="str">
        <f>"上海医药"</f>
        <v>上海医药</v>
      </c>
      <c r="D59" s="2" t="str">
        <f t="shared" si="31"/>
        <v>担保品卖出</v>
      </c>
      <c r="E59" s="2">
        <v>19.7</v>
      </c>
      <c r="F59" s="2">
        <v>1000</v>
      </c>
      <c r="G59" s="2">
        <v>19700</v>
      </c>
      <c r="H59" s="2">
        <v>6.11</v>
      </c>
      <c r="I59" s="2">
        <v>4.76</v>
      </c>
      <c r="J59" s="2">
        <v>19.7</v>
      </c>
      <c r="K59" s="2">
        <v>0.39</v>
      </c>
      <c r="L59" s="2">
        <v>0</v>
      </c>
      <c r="M59" s="2">
        <v>0</v>
      </c>
      <c r="N59" s="2">
        <v>19673.8</v>
      </c>
      <c r="O59" s="2">
        <v>33724.04</v>
      </c>
      <c r="P59" s="2">
        <v>0</v>
      </c>
      <c r="Q59" s="2" t="str">
        <f>"E021635187"</f>
        <v>E021635187</v>
      </c>
      <c r="R59" s="2" t="str">
        <f t="shared" si="4"/>
        <v>人民币</v>
      </c>
      <c r="S59" s="2" t="str">
        <f>"1361000173"</f>
        <v>1361000173</v>
      </c>
    </row>
    <row r="60" spans="1:19">
      <c r="A60" s="2" t="str">
        <f>"20151231"</f>
        <v>20151231</v>
      </c>
      <c r="B60" s="2" t="str">
        <f>"002154"</f>
        <v>002154</v>
      </c>
      <c r="C60" s="2" t="str">
        <f>"报 喜 鸟"</f>
        <v>报 喜 鸟</v>
      </c>
      <c r="D60" s="2" t="str">
        <f t="shared" si="31"/>
        <v>担保品卖出</v>
      </c>
      <c r="E60" s="2">
        <v>7.86</v>
      </c>
      <c r="F60" s="2">
        <v>1000</v>
      </c>
      <c r="G60" s="2">
        <v>7860</v>
      </c>
      <c r="H60" s="2">
        <v>5</v>
      </c>
      <c r="I60" s="2">
        <v>4.3</v>
      </c>
      <c r="J60" s="2">
        <v>7.86</v>
      </c>
      <c r="K60" s="2">
        <v>0</v>
      </c>
      <c r="L60" s="2">
        <v>0</v>
      </c>
      <c r="M60" s="2">
        <v>0</v>
      </c>
      <c r="N60" s="2">
        <v>7847.14</v>
      </c>
      <c r="O60" s="2">
        <v>41571.18</v>
      </c>
      <c r="P60" s="2">
        <v>0</v>
      </c>
      <c r="Q60" s="2" t="str">
        <f>"0602175409"</f>
        <v>0602175409</v>
      </c>
      <c r="R60" s="2" t="str">
        <f t="shared" si="4"/>
        <v>人民币</v>
      </c>
      <c r="S60" s="2" t="str">
        <f>"T4000248"</f>
        <v>T4000248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6"/>
  <sheetViews>
    <sheetView topLeftCell="M71" workbookViewId="0">
      <selection activeCell="A94" sqref="A94:S96"/>
    </sheetView>
  </sheetViews>
  <sheetFormatPr defaultColWidth="9" defaultRowHeight="13.5"/>
  <cols>
    <col min="1" max="16384" width="9" style="2"/>
  </cols>
  <sheetData>
    <row r="1" spans="1:19">
      <c r="A1" s="2" t="str">
        <f>"交割日期"</f>
        <v>交割日期</v>
      </c>
      <c r="B1" s="2" t="str">
        <f>"证券代码"</f>
        <v>证券代码</v>
      </c>
      <c r="C1" s="2" t="str">
        <f>"证券名称"</f>
        <v>证券名称</v>
      </c>
      <c r="D1" s="2" t="str">
        <f>"业务名称"</f>
        <v>业务名称</v>
      </c>
      <c r="E1" s="2" t="str">
        <f>"成交价格"</f>
        <v>成交价格</v>
      </c>
      <c r="F1" s="2" t="str">
        <f>"成交数量"</f>
        <v>成交数量</v>
      </c>
      <c r="G1" s="2" t="str">
        <f>"成交金额"</f>
        <v>成交金额</v>
      </c>
      <c r="H1" s="2" t="str">
        <f>"手续费"</f>
        <v>手续费</v>
      </c>
      <c r="I1" s="2" t="str">
        <f>"净佣金"</f>
        <v>净佣金</v>
      </c>
      <c r="J1" s="2" t="str">
        <f>"印花税"</f>
        <v>印花税</v>
      </c>
      <c r="K1" s="2" t="str">
        <f>"过户费"</f>
        <v>过户费</v>
      </c>
      <c r="L1" s="2" t="str">
        <f>"结算费"</f>
        <v>结算费</v>
      </c>
      <c r="M1" s="2" t="str">
        <f>"其他费"</f>
        <v>其他费</v>
      </c>
      <c r="N1" s="2" t="str">
        <f>"发生金额"</f>
        <v>发生金额</v>
      </c>
      <c r="O1" s="2" t="str">
        <f>"剩余金额"</f>
        <v>剩余金额</v>
      </c>
      <c r="P1" s="2" t="str">
        <f>"证券数量"</f>
        <v>证券数量</v>
      </c>
      <c r="Q1" s="2" t="str">
        <f>"股东代码"</f>
        <v>股东代码</v>
      </c>
      <c r="R1" s="2" t="str">
        <f>"币种"</f>
        <v>币种</v>
      </c>
      <c r="S1" s="2" t="str">
        <f>"成交编号"</f>
        <v>成交编号</v>
      </c>
    </row>
    <row r="2" spans="1:19">
      <c r="A2" s="2" t="str">
        <f>"20160104"</f>
        <v>20160104</v>
      </c>
      <c r="B2" s="2" t="str">
        <f>"601607"</f>
        <v>601607</v>
      </c>
      <c r="C2" s="2" t="str">
        <f>"上海医药"</f>
        <v>上海医药</v>
      </c>
      <c r="D2" s="2" t="str">
        <f>"担保品买入"</f>
        <v>担保品买入</v>
      </c>
      <c r="E2" s="2">
        <v>19</v>
      </c>
      <c r="F2" s="2">
        <v>1000</v>
      </c>
      <c r="G2" s="2">
        <v>19000</v>
      </c>
      <c r="H2" s="2">
        <v>5.89</v>
      </c>
      <c r="I2" s="2">
        <v>4.58</v>
      </c>
      <c r="J2" s="2">
        <v>0</v>
      </c>
      <c r="K2" s="2">
        <v>0.38</v>
      </c>
      <c r="L2" s="2">
        <v>0</v>
      </c>
      <c r="M2" s="2">
        <v>0</v>
      </c>
      <c r="N2" s="2">
        <v>-19006.27</v>
      </c>
      <c r="O2" s="2">
        <v>22564.91</v>
      </c>
      <c r="P2" s="2">
        <v>1000</v>
      </c>
      <c r="Q2" s="2" t="str">
        <f>"E021635187"</f>
        <v>E021635187</v>
      </c>
      <c r="R2" s="2" t="str">
        <f t="shared" ref="R2:R65" si="0">"人民币"</f>
        <v>人民币</v>
      </c>
      <c r="S2" s="2" t="str">
        <f>"1361000402"</f>
        <v>1361000402</v>
      </c>
    </row>
    <row r="3" spans="1:19">
      <c r="A3" s="2" t="str">
        <f t="shared" ref="A3:A11" si="1">"20160105"</f>
        <v>20160105</v>
      </c>
      <c r="B3" s="2" t="str">
        <f>"600066"</f>
        <v>600066</v>
      </c>
      <c r="C3" s="2" t="str">
        <f>"宇通客车"</f>
        <v>宇通客车</v>
      </c>
      <c r="D3" s="2" t="str">
        <f>"融资买入"</f>
        <v>融资买入</v>
      </c>
      <c r="E3" s="2">
        <v>21.62</v>
      </c>
      <c r="F3" s="2">
        <v>1000</v>
      </c>
      <c r="G3" s="2">
        <v>21620</v>
      </c>
      <c r="H3" s="2">
        <v>23.78</v>
      </c>
      <c r="I3" s="2">
        <v>22.28</v>
      </c>
      <c r="J3" s="2">
        <v>0</v>
      </c>
      <c r="K3" s="2">
        <v>0.43</v>
      </c>
      <c r="L3" s="2">
        <v>0</v>
      </c>
      <c r="M3" s="2">
        <v>0</v>
      </c>
      <c r="N3" s="2">
        <v>-21644.21</v>
      </c>
      <c r="O3" s="2">
        <v>920.7</v>
      </c>
      <c r="P3" s="2">
        <v>2000</v>
      </c>
      <c r="Q3" s="2" t="str">
        <f>"E021635187"</f>
        <v>E021635187</v>
      </c>
      <c r="R3" s="2" t="str">
        <f t="shared" si="0"/>
        <v>人民币</v>
      </c>
      <c r="S3" s="2" t="str">
        <f>"1361000071"</f>
        <v>1361000071</v>
      </c>
    </row>
    <row r="4" spans="1:19">
      <c r="A4" s="2" t="str">
        <f t="shared" si="1"/>
        <v>20160105</v>
      </c>
      <c r="B4" s="2" t="str">
        <f>"601607"</f>
        <v>601607</v>
      </c>
      <c r="C4" s="2" t="str">
        <f>"上海医药"</f>
        <v>上海医药</v>
      </c>
      <c r="D4" s="2" t="str">
        <f>"融资买入"</f>
        <v>融资买入</v>
      </c>
      <c r="E4" s="2">
        <v>18.17</v>
      </c>
      <c r="F4" s="2">
        <v>1000</v>
      </c>
      <c r="G4" s="2">
        <v>18170</v>
      </c>
      <c r="H4" s="2">
        <v>19.99</v>
      </c>
      <c r="I4" s="2">
        <v>18.75</v>
      </c>
      <c r="J4" s="2">
        <v>0</v>
      </c>
      <c r="K4" s="2">
        <v>0.36</v>
      </c>
      <c r="L4" s="2">
        <v>0</v>
      </c>
      <c r="M4" s="2">
        <v>0</v>
      </c>
      <c r="N4" s="2">
        <v>-18190.35</v>
      </c>
      <c r="O4" s="2">
        <v>-17269.65</v>
      </c>
      <c r="P4" s="2">
        <v>2000</v>
      </c>
      <c r="Q4" s="2" t="str">
        <f>"E021635187"</f>
        <v>E021635187</v>
      </c>
      <c r="R4" s="2" t="str">
        <f t="shared" si="0"/>
        <v>人民币</v>
      </c>
      <c r="S4" s="2" t="str">
        <f>"1361000258"</f>
        <v>1361000258</v>
      </c>
    </row>
    <row r="5" spans="1:19">
      <c r="A5" s="2" t="str">
        <f t="shared" si="1"/>
        <v>20160105</v>
      </c>
      <c r="B5" s="2" t="str">
        <f>"601607"</f>
        <v>601607</v>
      </c>
      <c r="C5" s="2" t="str">
        <f>"上海医药"</f>
        <v>上海医药</v>
      </c>
      <c r="D5" s="2" t="str">
        <f>"担保品卖出"</f>
        <v>担保品卖出</v>
      </c>
      <c r="E5" s="2">
        <v>18.73</v>
      </c>
      <c r="F5" s="2">
        <v>1000</v>
      </c>
      <c r="G5" s="2">
        <v>18730</v>
      </c>
      <c r="H5" s="2">
        <v>5.81</v>
      </c>
      <c r="I5" s="2">
        <v>4.53</v>
      </c>
      <c r="J5" s="2">
        <v>18.73</v>
      </c>
      <c r="K5" s="2">
        <v>0.37</v>
      </c>
      <c r="L5" s="2">
        <v>0</v>
      </c>
      <c r="M5" s="2">
        <v>0</v>
      </c>
      <c r="N5" s="2">
        <v>18705.09</v>
      </c>
      <c r="O5" s="2">
        <v>1435.44</v>
      </c>
      <c r="P5" s="2">
        <v>1000</v>
      </c>
      <c r="Q5" s="2" t="str">
        <f>"E021635187"</f>
        <v>E021635187</v>
      </c>
      <c r="R5" s="2" t="str">
        <f t="shared" si="0"/>
        <v>人民币</v>
      </c>
      <c r="S5" s="2" t="str">
        <f>"1361000406"</f>
        <v>1361000406</v>
      </c>
    </row>
    <row r="6" spans="1:19">
      <c r="A6" s="2" t="str">
        <f t="shared" si="1"/>
        <v>20160105</v>
      </c>
      <c r="B6" s="2" t="str">
        <f>"000667"</f>
        <v>000667</v>
      </c>
      <c r="C6" s="2" t="str">
        <f>"美好集团"</f>
        <v>美好集团</v>
      </c>
      <c r="D6" s="2" t="str">
        <f>"担保品卖出"</f>
        <v>担保品卖出</v>
      </c>
      <c r="E6" s="2">
        <v>5.29</v>
      </c>
      <c r="F6" s="2">
        <v>3000</v>
      </c>
      <c r="G6" s="2">
        <v>15870</v>
      </c>
      <c r="H6" s="2">
        <v>5</v>
      </c>
      <c r="I6" s="2">
        <v>3.59</v>
      </c>
      <c r="J6" s="2">
        <v>15.87</v>
      </c>
      <c r="K6" s="2">
        <v>0</v>
      </c>
      <c r="L6" s="2">
        <v>0</v>
      </c>
      <c r="M6" s="2">
        <v>0</v>
      </c>
      <c r="N6" s="2">
        <v>15849.13</v>
      </c>
      <c r="O6" s="2">
        <v>17284.57</v>
      </c>
      <c r="P6" s="2">
        <v>7000</v>
      </c>
      <c r="Q6" s="2" t="str">
        <f>"0602175409"</f>
        <v>0602175409</v>
      </c>
      <c r="R6" s="2" t="str">
        <f t="shared" si="0"/>
        <v>人民币</v>
      </c>
      <c r="S6" s="2" t="str">
        <f>"T4000498"</f>
        <v>T4000498</v>
      </c>
    </row>
    <row r="7" spans="1:19">
      <c r="A7" s="2" t="str">
        <f t="shared" si="1"/>
        <v>20160105</v>
      </c>
      <c r="D7" s="2" t="str">
        <f>"融资借入"</f>
        <v>融资借入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21644.21</v>
      </c>
      <c r="O7" s="2">
        <v>38928.78</v>
      </c>
      <c r="P7" s="2">
        <v>0</v>
      </c>
      <c r="R7" s="2" t="str">
        <f t="shared" si="0"/>
        <v>人民币</v>
      </c>
      <c r="S7" s="2" t="str">
        <f>"1361000071"</f>
        <v>1361000071</v>
      </c>
    </row>
    <row r="8" spans="1:19">
      <c r="A8" s="2" t="str">
        <f t="shared" si="1"/>
        <v>20160105</v>
      </c>
      <c r="D8" s="2" t="str">
        <f>"融资借入"</f>
        <v>融资借入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18190.35</v>
      </c>
      <c r="O8" s="2">
        <v>57119.13</v>
      </c>
      <c r="P8" s="2">
        <v>0</v>
      </c>
      <c r="R8" s="2" t="str">
        <f t="shared" si="0"/>
        <v>人民币</v>
      </c>
      <c r="S8" s="2" t="str">
        <f>"1361000258"</f>
        <v>1361000258</v>
      </c>
    </row>
    <row r="9" spans="1:19">
      <c r="A9" s="2" t="str">
        <f t="shared" si="1"/>
        <v>20160105</v>
      </c>
      <c r="D9" s="2" t="str">
        <f>"偿还融资负债本金"</f>
        <v>偿还融资负债本金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-18190.35</v>
      </c>
      <c r="O9" s="2">
        <v>38928.78</v>
      </c>
      <c r="P9" s="2">
        <v>0</v>
      </c>
      <c r="R9" s="2" t="str">
        <f t="shared" si="0"/>
        <v>人民币</v>
      </c>
      <c r="S9" s="2" t="str">
        <f>"1361000406"</f>
        <v>1361000406</v>
      </c>
    </row>
    <row r="10" spans="1:19">
      <c r="A10" s="2" t="str">
        <f t="shared" si="1"/>
        <v>20160105</v>
      </c>
      <c r="D10" s="2" t="str">
        <f>"偿还融资负债本金"</f>
        <v>偿还融资负债本金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-15136.63</v>
      </c>
      <c r="O10" s="2">
        <v>23792.15</v>
      </c>
      <c r="P10" s="2">
        <v>0</v>
      </c>
      <c r="R10" s="2" t="str">
        <f t="shared" si="0"/>
        <v>人民币</v>
      </c>
      <c r="S10" s="2" t="str">
        <f>"T4000498"</f>
        <v>T4000498</v>
      </c>
    </row>
    <row r="11" spans="1:18">
      <c r="A11" s="2" t="str">
        <f t="shared" si="1"/>
        <v>20160105</v>
      </c>
      <c r="D11" s="2" t="str">
        <f>"偿还融资利息"</f>
        <v>偿还融资利息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-28.08</v>
      </c>
      <c r="O11" s="2">
        <v>23764.07</v>
      </c>
      <c r="P11" s="2">
        <v>0</v>
      </c>
      <c r="R11" s="2" t="str">
        <f t="shared" si="0"/>
        <v>人民币</v>
      </c>
    </row>
    <row r="12" spans="1:19">
      <c r="A12" s="2" t="str">
        <f>"20160108"</f>
        <v>20160108</v>
      </c>
      <c r="B12" s="2" t="str">
        <f t="shared" ref="B12:B14" si="2">"601607"</f>
        <v>601607</v>
      </c>
      <c r="C12" s="2" t="str">
        <f t="shared" ref="C12:C14" si="3">"上海医药"</f>
        <v>上海医药</v>
      </c>
      <c r="D12" s="2" t="str">
        <f>"担保品买入"</f>
        <v>担保品买入</v>
      </c>
      <c r="E12" s="2">
        <v>18.11</v>
      </c>
      <c r="F12" s="2">
        <v>1000</v>
      </c>
      <c r="G12" s="2">
        <v>18110</v>
      </c>
      <c r="H12" s="2">
        <v>5.61</v>
      </c>
      <c r="I12" s="2">
        <v>4.36</v>
      </c>
      <c r="J12" s="2">
        <v>0</v>
      </c>
      <c r="K12" s="2">
        <v>0.36</v>
      </c>
      <c r="L12" s="2">
        <v>0</v>
      </c>
      <c r="M12" s="2">
        <v>0</v>
      </c>
      <c r="N12" s="2">
        <v>-18115.97</v>
      </c>
      <c r="O12" s="2">
        <v>5648.1</v>
      </c>
      <c r="P12" s="2">
        <v>2000</v>
      </c>
      <c r="Q12" s="2" t="str">
        <f t="shared" ref="Q12:Q15" si="4">"E021635187"</f>
        <v>E021635187</v>
      </c>
      <c r="R12" s="2" t="str">
        <f t="shared" si="0"/>
        <v>人民币</v>
      </c>
      <c r="S12" s="2" t="str">
        <f>"1361000237"</f>
        <v>1361000237</v>
      </c>
    </row>
    <row r="13" spans="1:19">
      <c r="A13" s="2" t="str">
        <f>"20160108"</f>
        <v>20160108</v>
      </c>
      <c r="B13" s="2" t="str">
        <f t="shared" si="2"/>
        <v>601607</v>
      </c>
      <c r="C13" s="2" t="str">
        <f t="shared" si="3"/>
        <v>上海医药</v>
      </c>
      <c r="D13" s="2" t="str">
        <f>"担保品卖出"</f>
        <v>担保品卖出</v>
      </c>
      <c r="E13" s="2">
        <v>18.37</v>
      </c>
      <c r="F13" s="2">
        <v>1000</v>
      </c>
      <c r="G13" s="2">
        <v>18370</v>
      </c>
      <c r="H13" s="2">
        <v>5.69</v>
      </c>
      <c r="I13" s="2">
        <v>4.43</v>
      </c>
      <c r="J13" s="2">
        <v>18.37</v>
      </c>
      <c r="K13" s="2">
        <v>0.37</v>
      </c>
      <c r="L13" s="2">
        <v>0</v>
      </c>
      <c r="M13" s="2">
        <v>0</v>
      </c>
      <c r="N13" s="2">
        <v>18345.57</v>
      </c>
      <c r="O13" s="2">
        <v>23993.67</v>
      </c>
      <c r="P13" s="2">
        <v>1000</v>
      </c>
      <c r="Q13" s="2" t="str">
        <f t="shared" si="4"/>
        <v>E021635187</v>
      </c>
      <c r="R13" s="2" t="str">
        <f t="shared" si="0"/>
        <v>人民币</v>
      </c>
      <c r="S13" s="2" t="str">
        <f>"1361000308"</f>
        <v>1361000308</v>
      </c>
    </row>
    <row r="14" spans="1:19">
      <c r="A14" s="2" t="str">
        <f t="shared" ref="A14:A16" si="5">"20160111"</f>
        <v>20160111</v>
      </c>
      <c r="B14" s="2" t="str">
        <f t="shared" si="2"/>
        <v>601607</v>
      </c>
      <c r="C14" s="2" t="str">
        <f t="shared" si="3"/>
        <v>上海医药</v>
      </c>
      <c r="D14" s="2" t="str">
        <f>"担保品买入"</f>
        <v>担保品买入</v>
      </c>
      <c r="E14" s="2">
        <v>18.08</v>
      </c>
      <c r="F14" s="2">
        <v>1000</v>
      </c>
      <c r="G14" s="2">
        <v>18080</v>
      </c>
      <c r="H14" s="2">
        <v>5.6</v>
      </c>
      <c r="I14" s="2">
        <v>4.35</v>
      </c>
      <c r="J14" s="2">
        <v>0</v>
      </c>
      <c r="K14" s="2">
        <v>0.36</v>
      </c>
      <c r="L14" s="2">
        <v>0</v>
      </c>
      <c r="M14" s="2">
        <v>0</v>
      </c>
      <c r="N14" s="2">
        <v>-18085.96</v>
      </c>
      <c r="O14" s="2">
        <v>5907.71</v>
      </c>
      <c r="P14" s="2">
        <v>2000</v>
      </c>
      <c r="Q14" s="2" t="str">
        <f t="shared" si="4"/>
        <v>E021635187</v>
      </c>
      <c r="R14" s="2" t="str">
        <f t="shared" si="0"/>
        <v>人民币</v>
      </c>
      <c r="S14" s="2" t="str">
        <f>"1361000057"</f>
        <v>1361000057</v>
      </c>
    </row>
    <row r="15" spans="1:19">
      <c r="A15" s="2" t="str">
        <f t="shared" si="5"/>
        <v>20160111</v>
      </c>
      <c r="B15" s="2" t="str">
        <f>"600066"</f>
        <v>600066</v>
      </c>
      <c r="C15" s="2" t="str">
        <f>"宇通客车"</f>
        <v>宇通客车</v>
      </c>
      <c r="D15" s="2" t="str">
        <f>"融资买入"</f>
        <v>融资买入</v>
      </c>
      <c r="E15" s="2">
        <v>19.258</v>
      </c>
      <c r="F15" s="2">
        <v>500</v>
      </c>
      <c r="G15" s="2">
        <v>9629</v>
      </c>
      <c r="H15" s="2">
        <v>10.59</v>
      </c>
      <c r="I15" s="2">
        <v>9.93</v>
      </c>
      <c r="J15" s="2">
        <v>0</v>
      </c>
      <c r="K15" s="2">
        <v>0.19</v>
      </c>
      <c r="L15" s="2">
        <v>0</v>
      </c>
      <c r="M15" s="2">
        <v>0</v>
      </c>
      <c r="N15" s="2">
        <v>-9639.78</v>
      </c>
      <c r="O15" s="2">
        <v>-3732.07</v>
      </c>
      <c r="P15" s="2">
        <v>2500</v>
      </c>
      <c r="Q15" s="2" t="str">
        <f t="shared" si="4"/>
        <v>E021635187</v>
      </c>
      <c r="R15" s="2" t="str">
        <f t="shared" si="0"/>
        <v>人民币</v>
      </c>
      <c r="S15" s="2" t="str">
        <f>"1361000417"</f>
        <v>1361000417</v>
      </c>
    </row>
    <row r="16" spans="1:19">
      <c r="A16" s="2" t="str">
        <f t="shared" si="5"/>
        <v>20160111</v>
      </c>
      <c r="D16" s="2" t="str">
        <f>"融资借入"</f>
        <v>融资借入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9639.78</v>
      </c>
      <c r="O16" s="2">
        <v>5907.71</v>
      </c>
      <c r="P16" s="2">
        <v>0</v>
      </c>
      <c r="R16" s="2" t="str">
        <f t="shared" si="0"/>
        <v>人民币</v>
      </c>
      <c r="S16" s="2" t="str">
        <f>"1361000417"</f>
        <v>1361000417</v>
      </c>
    </row>
    <row r="17" spans="1:19">
      <c r="A17" s="2" t="str">
        <f>"20160112"</f>
        <v>20160112</v>
      </c>
      <c r="B17" s="2" t="str">
        <f>"600886"</f>
        <v>600886</v>
      </c>
      <c r="C17" s="2" t="str">
        <f>"国投电力"</f>
        <v>国投电力</v>
      </c>
      <c r="D17" s="2" t="str">
        <f>"融资买入"</f>
        <v>融资买入</v>
      </c>
      <c r="E17" s="2">
        <v>7.095</v>
      </c>
      <c r="F17" s="2">
        <v>2000</v>
      </c>
      <c r="G17" s="2">
        <v>14190</v>
      </c>
      <c r="H17" s="2">
        <v>15.61</v>
      </c>
      <c r="I17" s="2">
        <v>14.63</v>
      </c>
      <c r="J17" s="2">
        <v>0</v>
      </c>
      <c r="K17" s="2">
        <v>0.28</v>
      </c>
      <c r="L17" s="2">
        <v>0</v>
      </c>
      <c r="M17" s="2">
        <v>0</v>
      </c>
      <c r="N17" s="2">
        <v>-14205.89</v>
      </c>
      <c r="O17" s="2">
        <v>-8298.18</v>
      </c>
      <c r="P17" s="2">
        <v>14000</v>
      </c>
      <c r="Q17" s="2" t="str">
        <f>"E021635187"</f>
        <v>E021635187</v>
      </c>
      <c r="R17" s="2" t="str">
        <f t="shared" si="0"/>
        <v>人民币</v>
      </c>
      <c r="S17" s="2" t="str">
        <f>"1361000108"</f>
        <v>1361000108</v>
      </c>
    </row>
    <row r="18" spans="1:19">
      <c r="A18" s="2" t="str">
        <f>"20160112"</f>
        <v>20160112</v>
      </c>
      <c r="D18" s="2" t="str">
        <f>"融资借入"</f>
        <v>融资借入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14205.89</v>
      </c>
      <c r="O18" s="2">
        <v>5907.71</v>
      </c>
      <c r="P18" s="2">
        <v>0</v>
      </c>
      <c r="R18" s="2" t="str">
        <f t="shared" si="0"/>
        <v>人民币</v>
      </c>
      <c r="S18" s="2" t="str">
        <f>"1361000108"</f>
        <v>1361000108</v>
      </c>
    </row>
    <row r="19" spans="1:19">
      <c r="A19" s="2" t="str">
        <f>"20160114"</f>
        <v>20160114</v>
      </c>
      <c r="B19" s="2" t="str">
        <f t="shared" ref="B19:B24" si="6">"000667"</f>
        <v>000667</v>
      </c>
      <c r="C19" s="2" t="str">
        <f t="shared" ref="C19:C24" si="7">"美好集团"</f>
        <v>美好集团</v>
      </c>
      <c r="D19" s="2" t="str">
        <f t="shared" ref="D19:D23" si="8">"担保品买入"</f>
        <v>担保品买入</v>
      </c>
      <c r="E19" s="2">
        <v>5.14</v>
      </c>
      <c r="F19" s="2">
        <v>1000</v>
      </c>
      <c r="G19" s="2">
        <v>5140</v>
      </c>
      <c r="H19" s="2">
        <v>5</v>
      </c>
      <c r="I19" s="2">
        <v>4.55</v>
      </c>
      <c r="J19" s="2">
        <v>0</v>
      </c>
      <c r="K19" s="2">
        <v>0</v>
      </c>
      <c r="L19" s="2">
        <v>0</v>
      </c>
      <c r="M19" s="2">
        <v>0</v>
      </c>
      <c r="N19" s="2">
        <v>-5145</v>
      </c>
      <c r="O19" s="2">
        <v>762.71</v>
      </c>
      <c r="P19" s="2">
        <v>8000</v>
      </c>
      <c r="Q19" s="2" t="str">
        <f t="shared" ref="Q19:Q24" si="9">"0602175409"</f>
        <v>0602175409</v>
      </c>
      <c r="R19" s="2" t="str">
        <f t="shared" si="0"/>
        <v>人民币</v>
      </c>
      <c r="S19" s="2" t="str">
        <f>"T4000046"</f>
        <v>T4000046</v>
      </c>
    </row>
    <row r="20" spans="1:19">
      <c r="A20" s="2" t="str">
        <f>"20160114"</f>
        <v>20160114</v>
      </c>
      <c r="B20" s="2" t="str">
        <f t="shared" si="6"/>
        <v>000667</v>
      </c>
      <c r="C20" s="2" t="str">
        <f t="shared" si="7"/>
        <v>美好集团</v>
      </c>
      <c r="D20" s="2" t="str">
        <f t="shared" ref="D20:D24" si="10">"担保品卖出"</f>
        <v>担保品卖出</v>
      </c>
      <c r="E20" s="2">
        <v>5.25</v>
      </c>
      <c r="F20" s="2">
        <v>1000</v>
      </c>
      <c r="G20" s="2">
        <v>5250</v>
      </c>
      <c r="H20" s="2">
        <v>5</v>
      </c>
      <c r="I20" s="2">
        <v>4.52</v>
      </c>
      <c r="J20" s="2">
        <v>5.25</v>
      </c>
      <c r="K20" s="2">
        <v>0</v>
      </c>
      <c r="L20" s="2">
        <v>0</v>
      </c>
      <c r="M20" s="2">
        <v>0</v>
      </c>
      <c r="N20" s="2">
        <v>5239.75</v>
      </c>
      <c r="O20" s="2">
        <v>6002.46</v>
      </c>
      <c r="P20" s="2">
        <v>7000</v>
      </c>
      <c r="Q20" s="2" t="str">
        <f t="shared" si="9"/>
        <v>0602175409</v>
      </c>
      <c r="R20" s="2" t="str">
        <f t="shared" si="0"/>
        <v>人民币</v>
      </c>
      <c r="S20" s="2" t="str">
        <f>"T4000227"</f>
        <v>T4000227</v>
      </c>
    </row>
    <row r="21" spans="1:19">
      <c r="A21" s="2" t="str">
        <f>"20160115"</f>
        <v>20160115</v>
      </c>
      <c r="B21" s="2" t="str">
        <f t="shared" si="6"/>
        <v>000667</v>
      </c>
      <c r="C21" s="2" t="str">
        <f t="shared" si="7"/>
        <v>美好集团</v>
      </c>
      <c r="D21" s="2" t="str">
        <f t="shared" si="8"/>
        <v>担保品买入</v>
      </c>
      <c r="E21" s="2">
        <v>5.32</v>
      </c>
      <c r="F21" s="2">
        <v>1000</v>
      </c>
      <c r="G21" s="2">
        <v>5320</v>
      </c>
      <c r="H21" s="2">
        <v>5</v>
      </c>
      <c r="I21" s="2">
        <v>4.52</v>
      </c>
      <c r="J21" s="2">
        <v>0</v>
      </c>
      <c r="K21" s="2">
        <v>0</v>
      </c>
      <c r="L21" s="2">
        <v>0</v>
      </c>
      <c r="M21" s="2">
        <v>0</v>
      </c>
      <c r="N21" s="2">
        <v>-5325</v>
      </c>
      <c r="O21" s="2">
        <v>677.46</v>
      </c>
      <c r="P21" s="2">
        <v>8000</v>
      </c>
      <c r="Q21" s="2" t="str">
        <f t="shared" si="9"/>
        <v>0602175409</v>
      </c>
      <c r="R21" s="2" t="str">
        <f t="shared" si="0"/>
        <v>人民币</v>
      </c>
      <c r="S21" s="2" t="str">
        <f>"T4000605"</f>
        <v>T4000605</v>
      </c>
    </row>
    <row r="22" spans="1:19">
      <c r="A22" s="2" t="str">
        <f>"20160115"</f>
        <v>20160115</v>
      </c>
      <c r="B22" s="2" t="str">
        <f t="shared" si="6"/>
        <v>000667</v>
      </c>
      <c r="C22" s="2" t="str">
        <f t="shared" si="7"/>
        <v>美好集团</v>
      </c>
      <c r="D22" s="2" t="str">
        <f t="shared" si="10"/>
        <v>担保品卖出</v>
      </c>
      <c r="E22" s="2">
        <v>5.47</v>
      </c>
      <c r="F22" s="2">
        <v>1000</v>
      </c>
      <c r="G22" s="2">
        <v>5470</v>
      </c>
      <c r="H22" s="2">
        <v>5</v>
      </c>
      <c r="I22" s="2">
        <v>4.51</v>
      </c>
      <c r="J22" s="2">
        <v>5.47</v>
      </c>
      <c r="K22" s="2">
        <v>0</v>
      </c>
      <c r="L22" s="2">
        <v>0</v>
      </c>
      <c r="M22" s="2">
        <v>0</v>
      </c>
      <c r="N22" s="2">
        <v>5459.53</v>
      </c>
      <c r="O22" s="2">
        <v>6136.99</v>
      </c>
      <c r="P22" s="2">
        <v>7000</v>
      </c>
      <c r="Q22" s="2" t="str">
        <f t="shared" si="9"/>
        <v>0602175409</v>
      </c>
      <c r="R22" s="2" t="str">
        <f t="shared" si="0"/>
        <v>人民币</v>
      </c>
      <c r="S22" s="2" t="str">
        <f>"T4000626"</f>
        <v>T4000626</v>
      </c>
    </row>
    <row r="23" spans="1:19">
      <c r="A23" s="2" t="str">
        <f>"20160118"</f>
        <v>20160118</v>
      </c>
      <c r="B23" s="2" t="str">
        <f t="shared" si="6"/>
        <v>000667</v>
      </c>
      <c r="C23" s="2" t="str">
        <f t="shared" si="7"/>
        <v>美好集团</v>
      </c>
      <c r="D23" s="2" t="str">
        <f t="shared" si="8"/>
        <v>担保品买入</v>
      </c>
      <c r="E23" s="2">
        <v>5.03</v>
      </c>
      <c r="F23" s="2">
        <v>1000</v>
      </c>
      <c r="G23" s="2">
        <v>5030</v>
      </c>
      <c r="H23" s="2">
        <v>5</v>
      </c>
      <c r="I23" s="2">
        <v>4.56</v>
      </c>
      <c r="J23" s="2">
        <v>0</v>
      </c>
      <c r="K23" s="2">
        <v>0</v>
      </c>
      <c r="L23" s="2">
        <v>0</v>
      </c>
      <c r="M23" s="2">
        <v>0</v>
      </c>
      <c r="N23" s="2">
        <v>-5035</v>
      </c>
      <c r="O23" s="2">
        <v>1101.99</v>
      </c>
      <c r="P23" s="2">
        <v>8000</v>
      </c>
      <c r="Q23" s="2" t="str">
        <f t="shared" si="9"/>
        <v>0602175409</v>
      </c>
      <c r="R23" s="2" t="str">
        <f t="shared" si="0"/>
        <v>人民币</v>
      </c>
      <c r="S23" s="2" t="str">
        <f>"T4000468"</f>
        <v>T4000468</v>
      </c>
    </row>
    <row r="24" spans="1:19">
      <c r="A24" s="2" t="str">
        <f>"20160118"</f>
        <v>20160118</v>
      </c>
      <c r="B24" s="2" t="str">
        <f t="shared" si="6"/>
        <v>000667</v>
      </c>
      <c r="C24" s="2" t="str">
        <f t="shared" si="7"/>
        <v>美好集团</v>
      </c>
      <c r="D24" s="2" t="str">
        <f t="shared" si="10"/>
        <v>担保品卖出</v>
      </c>
      <c r="E24" s="2">
        <v>5.2</v>
      </c>
      <c r="F24" s="2">
        <v>1000</v>
      </c>
      <c r="G24" s="2">
        <v>5200</v>
      </c>
      <c r="H24" s="2">
        <v>5</v>
      </c>
      <c r="I24" s="2">
        <v>4.54</v>
      </c>
      <c r="J24" s="2">
        <v>5.2</v>
      </c>
      <c r="K24" s="2">
        <v>0</v>
      </c>
      <c r="L24" s="2">
        <v>0</v>
      </c>
      <c r="M24" s="2">
        <v>0</v>
      </c>
      <c r="N24" s="2">
        <v>5189.8</v>
      </c>
      <c r="O24" s="2">
        <v>6291.79</v>
      </c>
      <c r="P24" s="2">
        <v>7000</v>
      </c>
      <c r="Q24" s="2" t="str">
        <f t="shared" si="9"/>
        <v>0602175409</v>
      </c>
      <c r="R24" s="2" t="str">
        <f t="shared" si="0"/>
        <v>人民币</v>
      </c>
      <c r="S24" s="2" t="str">
        <f>"T4000634"</f>
        <v>T4000634</v>
      </c>
    </row>
    <row r="25" spans="1:18">
      <c r="A25" s="2" t="str">
        <f t="shared" ref="A25:A27" si="11">"20160127"</f>
        <v>20160127</v>
      </c>
      <c r="D25" s="2" t="str">
        <f>"银行转证券"</f>
        <v>银行转证券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20000</v>
      </c>
      <c r="O25" s="2">
        <v>26291.79</v>
      </c>
      <c r="P25" s="2">
        <v>0</v>
      </c>
      <c r="R25" s="2" t="str">
        <f t="shared" si="0"/>
        <v>人民币</v>
      </c>
    </row>
    <row r="26" spans="1:19">
      <c r="A26" s="2" t="str">
        <f t="shared" si="11"/>
        <v>20160127</v>
      </c>
      <c r="B26" s="2" t="str">
        <f>"601607"</f>
        <v>601607</v>
      </c>
      <c r="C26" s="2" t="str">
        <f>"上海医药"</f>
        <v>上海医药</v>
      </c>
      <c r="D26" s="2" t="str">
        <f t="shared" ref="D26:D28" si="12">"担保品买入"</f>
        <v>担保品买入</v>
      </c>
      <c r="E26" s="2">
        <v>15.03</v>
      </c>
      <c r="F26" s="2">
        <v>500</v>
      </c>
      <c r="G26" s="2">
        <v>7515</v>
      </c>
      <c r="H26" s="2">
        <v>5</v>
      </c>
      <c r="I26" s="2">
        <v>4.48</v>
      </c>
      <c r="J26" s="2">
        <v>0</v>
      </c>
      <c r="K26" s="2">
        <v>0.15</v>
      </c>
      <c r="L26" s="2">
        <v>0</v>
      </c>
      <c r="M26" s="2">
        <v>0</v>
      </c>
      <c r="N26" s="2">
        <v>-7520.15</v>
      </c>
      <c r="O26" s="2">
        <v>18771.64</v>
      </c>
      <c r="P26" s="2">
        <v>2500</v>
      </c>
      <c r="Q26" s="2" t="str">
        <f t="shared" ref="Q26:Q30" si="13">"E021635187"</f>
        <v>E021635187</v>
      </c>
      <c r="R26" s="2" t="str">
        <f t="shared" si="0"/>
        <v>人民币</v>
      </c>
      <c r="S26" s="2" t="str">
        <f>"1361000374"</f>
        <v>1361000374</v>
      </c>
    </row>
    <row r="27" spans="1:19">
      <c r="A27" s="2" t="str">
        <f t="shared" si="11"/>
        <v>20160127</v>
      </c>
      <c r="B27" s="2" t="str">
        <f>"600886"</f>
        <v>600886</v>
      </c>
      <c r="C27" s="2" t="str">
        <f>"国投电力"</f>
        <v>国投电力</v>
      </c>
      <c r="D27" s="2" t="str">
        <f t="shared" si="12"/>
        <v>担保品买入</v>
      </c>
      <c r="E27" s="2">
        <v>6.22</v>
      </c>
      <c r="F27" s="2">
        <v>2000</v>
      </c>
      <c r="G27" s="2">
        <v>12440</v>
      </c>
      <c r="H27" s="2">
        <v>5</v>
      </c>
      <c r="I27" s="2">
        <v>4.14</v>
      </c>
      <c r="J27" s="2">
        <v>0</v>
      </c>
      <c r="K27" s="2">
        <v>0.25</v>
      </c>
      <c r="L27" s="2">
        <v>0</v>
      </c>
      <c r="M27" s="2">
        <v>0</v>
      </c>
      <c r="N27" s="2">
        <v>-12445.25</v>
      </c>
      <c r="O27" s="2">
        <v>6326.39</v>
      </c>
      <c r="P27" s="2">
        <v>16000</v>
      </c>
      <c r="Q27" s="2" t="str">
        <f t="shared" si="13"/>
        <v>E021635187</v>
      </c>
      <c r="R27" s="2" t="str">
        <f t="shared" si="0"/>
        <v>人民币</v>
      </c>
      <c r="S27" s="2" t="str">
        <f>"1361000545"</f>
        <v>1361000545</v>
      </c>
    </row>
    <row r="28" spans="1:19">
      <c r="A28" s="2" t="str">
        <f>"20160202"</f>
        <v>20160202</v>
      </c>
      <c r="B28" s="2" t="str">
        <f>"000667"</f>
        <v>000667</v>
      </c>
      <c r="C28" s="2" t="str">
        <f>"美好集团"</f>
        <v>美好集团</v>
      </c>
      <c r="D28" s="2" t="str">
        <f t="shared" si="12"/>
        <v>担保品买入</v>
      </c>
      <c r="E28" s="2">
        <v>3.66</v>
      </c>
      <c r="F28" s="2">
        <v>1700</v>
      </c>
      <c r="G28" s="2">
        <v>6222</v>
      </c>
      <c r="H28" s="2">
        <v>5</v>
      </c>
      <c r="I28" s="2">
        <v>4.46</v>
      </c>
      <c r="J28" s="2">
        <v>0</v>
      </c>
      <c r="K28" s="2">
        <v>0</v>
      </c>
      <c r="L28" s="2">
        <v>0</v>
      </c>
      <c r="M28" s="2">
        <v>0</v>
      </c>
      <c r="N28" s="2">
        <v>-6227</v>
      </c>
      <c r="O28" s="2">
        <v>99.39</v>
      </c>
      <c r="P28" s="2">
        <v>8700</v>
      </c>
      <c r="Q28" s="2" t="str">
        <f>"0602175409"</f>
        <v>0602175409</v>
      </c>
      <c r="R28" s="2" t="str">
        <f t="shared" si="0"/>
        <v>人民币</v>
      </c>
      <c r="S28" s="2" t="str">
        <f>"T4000062"</f>
        <v>T4000062</v>
      </c>
    </row>
    <row r="29" spans="1:19">
      <c r="A29" s="2" t="str">
        <f>"20160203"</f>
        <v>20160203</v>
      </c>
      <c r="B29" s="2" t="str">
        <f>"000667"</f>
        <v>000667</v>
      </c>
      <c r="C29" s="2" t="str">
        <f>"美好集团"</f>
        <v>美好集团</v>
      </c>
      <c r="D29" s="2" t="str">
        <f>"担保品卖出"</f>
        <v>担保品卖出</v>
      </c>
      <c r="E29" s="2">
        <v>3.96</v>
      </c>
      <c r="F29" s="2">
        <v>1700</v>
      </c>
      <c r="G29" s="2">
        <v>6732</v>
      </c>
      <c r="H29" s="2">
        <v>5</v>
      </c>
      <c r="I29" s="2">
        <v>4.41</v>
      </c>
      <c r="J29" s="2">
        <v>6.73</v>
      </c>
      <c r="K29" s="2">
        <v>0</v>
      </c>
      <c r="L29" s="2">
        <v>0</v>
      </c>
      <c r="M29" s="2">
        <v>0</v>
      </c>
      <c r="N29" s="2">
        <v>6720.27</v>
      </c>
      <c r="O29" s="2">
        <v>6819.66</v>
      </c>
      <c r="P29" s="2">
        <v>7000</v>
      </c>
      <c r="Q29" s="2" t="str">
        <f>"0602175409"</f>
        <v>0602175409</v>
      </c>
      <c r="R29" s="2" t="str">
        <f t="shared" si="0"/>
        <v>人民币</v>
      </c>
      <c r="S29" s="2" t="str">
        <f>"T4000209"</f>
        <v>T4000209</v>
      </c>
    </row>
    <row r="30" spans="1:19">
      <c r="A30" s="2" t="str">
        <f>"20160203"</f>
        <v>20160203</v>
      </c>
      <c r="B30" s="2" t="str">
        <f>"601607"</f>
        <v>601607</v>
      </c>
      <c r="C30" s="2" t="str">
        <f>"上海医药"</f>
        <v>上海医药</v>
      </c>
      <c r="D30" s="2" t="str">
        <f>"担保品卖出"</f>
        <v>担保品卖出</v>
      </c>
      <c r="E30" s="2">
        <v>15.28</v>
      </c>
      <c r="F30" s="2">
        <v>500</v>
      </c>
      <c r="G30" s="2">
        <v>7640</v>
      </c>
      <c r="H30" s="2">
        <v>5</v>
      </c>
      <c r="I30" s="2">
        <v>4.48</v>
      </c>
      <c r="J30" s="2">
        <v>7.64</v>
      </c>
      <c r="K30" s="2">
        <v>0.15</v>
      </c>
      <c r="L30" s="2">
        <v>0</v>
      </c>
      <c r="M30" s="2">
        <v>0</v>
      </c>
      <c r="N30" s="2">
        <v>7627.21</v>
      </c>
      <c r="O30" s="2">
        <v>14446.87</v>
      </c>
      <c r="P30" s="2">
        <v>2000</v>
      </c>
      <c r="Q30" s="2" t="str">
        <f t="shared" si="13"/>
        <v>E021635187</v>
      </c>
      <c r="R30" s="2" t="str">
        <f t="shared" si="0"/>
        <v>人民币</v>
      </c>
      <c r="S30" s="2" t="str">
        <f>"1361000265"</f>
        <v>1361000265</v>
      </c>
    </row>
    <row r="31" spans="1:18">
      <c r="A31" s="2" t="str">
        <f>"20160205"</f>
        <v>20160205</v>
      </c>
      <c r="D31" s="2" t="str">
        <f>"偿还融资负债本金"</f>
        <v>偿还融资负债本金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-13825.85</v>
      </c>
      <c r="O31" s="2">
        <v>446.87</v>
      </c>
      <c r="P31" s="2">
        <v>0</v>
      </c>
      <c r="R31" s="2" t="str">
        <f t="shared" si="0"/>
        <v>人民币</v>
      </c>
    </row>
    <row r="32" spans="1:18">
      <c r="A32" s="2" t="str">
        <f>"20160205"</f>
        <v>20160205</v>
      </c>
      <c r="D32" s="2" t="str">
        <f>"偿还融资利息"</f>
        <v>偿还融资利息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-174.15</v>
      </c>
      <c r="O32" s="2">
        <v>14272.72</v>
      </c>
      <c r="P32" s="2">
        <v>0</v>
      </c>
      <c r="R32" s="2" t="str">
        <f t="shared" si="0"/>
        <v>人民币</v>
      </c>
    </row>
    <row r="33" spans="1:18">
      <c r="A33" s="2" t="str">
        <f t="shared" ref="A33:A35" si="14">"20160219"</f>
        <v>20160219</v>
      </c>
      <c r="D33" s="2" t="str">
        <f>"银行转证券"</f>
        <v>银行转证券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5000</v>
      </c>
      <c r="O33" s="2">
        <v>5446.87</v>
      </c>
      <c r="P33" s="2">
        <v>0</v>
      </c>
      <c r="R33" s="2" t="str">
        <f t="shared" si="0"/>
        <v>人民币</v>
      </c>
    </row>
    <row r="34" spans="1:19">
      <c r="A34" s="2" t="str">
        <f t="shared" si="14"/>
        <v>20160219</v>
      </c>
      <c r="B34" s="2" t="str">
        <f>"600066"</f>
        <v>600066</v>
      </c>
      <c r="C34" s="2" t="str">
        <f>"宇通客车"</f>
        <v>宇通客车</v>
      </c>
      <c r="D34" s="2" t="str">
        <f>"融资买入"</f>
        <v>融资买入</v>
      </c>
      <c r="E34" s="2">
        <v>19.3</v>
      </c>
      <c r="F34" s="2">
        <v>500</v>
      </c>
      <c r="G34" s="2">
        <v>9650</v>
      </c>
      <c r="H34" s="2">
        <v>10.62</v>
      </c>
      <c r="I34" s="2">
        <v>9.96</v>
      </c>
      <c r="J34" s="2">
        <v>0</v>
      </c>
      <c r="K34" s="2">
        <v>0.19</v>
      </c>
      <c r="L34" s="2">
        <v>0</v>
      </c>
      <c r="M34" s="2">
        <v>0</v>
      </c>
      <c r="N34" s="2">
        <v>-9660.81</v>
      </c>
      <c r="O34" s="2">
        <v>-4213.94</v>
      </c>
      <c r="P34" s="2">
        <v>3000</v>
      </c>
      <c r="Q34" s="2" t="str">
        <f t="shared" ref="Q34:Q38" si="15">"E021635187"</f>
        <v>E021635187</v>
      </c>
      <c r="R34" s="2" t="str">
        <f t="shared" si="0"/>
        <v>人民币</v>
      </c>
      <c r="S34" s="2" t="str">
        <f>"1361000313"</f>
        <v>1361000313</v>
      </c>
    </row>
    <row r="35" spans="1:19">
      <c r="A35" s="2" t="str">
        <f t="shared" si="14"/>
        <v>20160219</v>
      </c>
      <c r="D35" s="2" t="str">
        <f>"融资借入"</f>
        <v>融资借入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9660.81</v>
      </c>
      <c r="O35" s="2">
        <v>5446.87</v>
      </c>
      <c r="P35" s="2">
        <v>0</v>
      </c>
      <c r="R35" s="2" t="str">
        <f t="shared" si="0"/>
        <v>人民币</v>
      </c>
      <c r="S35" s="2" t="str">
        <f>"1361000313"</f>
        <v>1361000313</v>
      </c>
    </row>
    <row r="36" spans="1:18">
      <c r="A36" s="2" t="str">
        <f t="shared" ref="A36:A39" si="16">"20160222"</f>
        <v>20160222</v>
      </c>
      <c r="D36" s="2" t="str">
        <f>"银行转证券"</f>
        <v>银行转证券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15000</v>
      </c>
      <c r="O36" s="2">
        <v>20446.87</v>
      </c>
      <c r="P36" s="2">
        <v>0</v>
      </c>
      <c r="R36" s="2" t="str">
        <f t="shared" si="0"/>
        <v>人民币</v>
      </c>
    </row>
    <row r="37" spans="1:19">
      <c r="A37" s="2" t="str">
        <f t="shared" si="16"/>
        <v>20160222</v>
      </c>
      <c r="B37" s="2" t="str">
        <f t="shared" ref="B37:B42" si="17">"600066"</f>
        <v>600066</v>
      </c>
      <c r="C37" s="2" t="str">
        <f t="shared" ref="C37:C42" si="18">"宇通客车"</f>
        <v>宇通客车</v>
      </c>
      <c r="D37" s="2" t="str">
        <f>"担保品卖出"</f>
        <v>担保品卖出</v>
      </c>
      <c r="E37" s="2">
        <v>19.88</v>
      </c>
      <c r="F37" s="2">
        <v>500</v>
      </c>
      <c r="G37" s="2">
        <v>9940</v>
      </c>
      <c r="H37" s="2">
        <v>5</v>
      </c>
      <c r="I37" s="2">
        <v>4.31</v>
      </c>
      <c r="J37" s="2">
        <v>9.94</v>
      </c>
      <c r="K37" s="2">
        <v>0.2</v>
      </c>
      <c r="L37" s="2">
        <v>0</v>
      </c>
      <c r="M37" s="2">
        <v>0</v>
      </c>
      <c r="N37" s="2">
        <v>9924.86</v>
      </c>
      <c r="O37" s="2">
        <v>30371.73</v>
      </c>
      <c r="P37" s="2">
        <v>2500</v>
      </c>
      <c r="Q37" s="2" t="str">
        <f t="shared" si="15"/>
        <v>E021635187</v>
      </c>
      <c r="R37" s="2" t="str">
        <f t="shared" si="0"/>
        <v>人民币</v>
      </c>
      <c r="S37" s="2" t="str">
        <f>"1361000439"</f>
        <v>1361000439</v>
      </c>
    </row>
    <row r="38" spans="1:19">
      <c r="A38" s="2" t="str">
        <f t="shared" si="16"/>
        <v>20160222</v>
      </c>
      <c r="B38" s="2" t="str">
        <f>"600886"</f>
        <v>600886</v>
      </c>
      <c r="C38" s="2" t="str">
        <f>"国投电力"</f>
        <v>国投电力</v>
      </c>
      <c r="D38" s="2" t="str">
        <f>"担保品买入"</f>
        <v>担保品买入</v>
      </c>
      <c r="E38" s="2">
        <v>6.51</v>
      </c>
      <c r="F38" s="2">
        <v>3000</v>
      </c>
      <c r="G38" s="2">
        <v>19530</v>
      </c>
      <c r="H38" s="2">
        <v>6.05</v>
      </c>
      <c r="I38" s="2">
        <v>4.72</v>
      </c>
      <c r="J38" s="2">
        <v>0</v>
      </c>
      <c r="K38" s="2">
        <v>0.39</v>
      </c>
      <c r="L38" s="2">
        <v>0</v>
      </c>
      <c r="M38" s="2">
        <v>0</v>
      </c>
      <c r="N38" s="2">
        <v>-19536.44</v>
      </c>
      <c r="O38" s="2">
        <v>10835.29</v>
      </c>
      <c r="P38" s="2">
        <v>19000</v>
      </c>
      <c r="Q38" s="2" t="str">
        <f t="shared" si="15"/>
        <v>E021635187</v>
      </c>
      <c r="R38" s="2" t="str">
        <f t="shared" si="0"/>
        <v>人民币</v>
      </c>
      <c r="S38" s="2" t="str">
        <f>"1361000460"</f>
        <v>1361000460</v>
      </c>
    </row>
    <row r="39" spans="1:19">
      <c r="A39" s="2" t="str">
        <f t="shared" si="16"/>
        <v>20160222</v>
      </c>
      <c r="D39" s="2" t="str">
        <f>"偿还融资负债本金"</f>
        <v>偿还融资负债本金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-9900.04</v>
      </c>
      <c r="O39" s="2">
        <v>935.25</v>
      </c>
      <c r="P39" s="2">
        <v>0</v>
      </c>
      <c r="R39" s="2" t="str">
        <f t="shared" si="0"/>
        <v>人民币</v>
      </c>
      <c r="S39" s="2" t="str">
        <f>"1361000439"</f>
        <v>1361000439</v>
      </c>
    </row>
    <row r="40" spans="1:19">
      <c r="A40" s="2" t="str">
        <f>"20160223"</f>
        <v>20160223</v>
      </c>
      <c r="B40" s="2" t="str">
        <f t="shared" si="17"/>
        <v>600066</v>
      </c>
      <c r="C40" s="2" t="str">
        <f t="shared" si="18"/>
        <v>宇通客车</v>
      </c>
      <c r="D40" s="2" t="str">
        <f>"融资买入"</f>
        <v>融资买入</v>
      </c>
      <c r="E40" s="2">
        <v>19.16</v>
      </c>
      <c r="F40" s="2">
        <v>500</v>
      </c>
      <c r="G40" s="2">
        <v>9580</v>
      </c>
      <c r="H40" s="2">
        <v>10.54</v>
      </c>
      <c r="I40" s="2">
        <v>9.88</v>
      </c>
      <c r="J40" s="2">
        <v>0</v>
      </c>
      <c r="K40" s="2">
        <v>0.19</v>
      </c>
      <c r="L40" s="2">
        <v>0</v>
      </c>
      <c r="M40" s="2">
        <v>0</v>
      </c>
      <c r="N40" s="2">
        <v>-9590.73</v>
      </c>
      <c r="O40" s="2">
        <v>-8655.48</v>
      </c>
      <c r="P40" s="2">
        <v>3000</v>
      </c>
      <c r="Q40" s="2" t="str">
        <f t="shared" ref="Q40:Q47" si="19">"E021635187"</f>
        <v>E021635187</v>
      </c>
      <c r="R40" s="2" t="str">
        <f t="shared" si="0"/>
        <v>人民币</v>
      </c>
      <c r="S40" s="2" t="str">
        <f>"1361000294"</f>
        <v>1361000294</v>
      </c>
    </row>
    <row r="41" spans="1:19">
      <c r="A41" s="2" t="str">
        <f>"20160223"</f>
        <v>20160223</v>
      </c>
      <c r="D41" s="2" t="str">
        <f>"融资借入"</f>
        <v>融资借入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9590.73</v>
      </c>
      <c r="O41" s="2">
        <v>935.25</v>
      </c>
      <c r="P41" s="2">
        <v>0</v>
      </c>
      <c r="R41" s="2" t="str">
        <f t="shared" si="0"/>
        <v>人民币</v>
      </c>
      <c r="S41" s="2" t="str">
        <f>"1361000294"</f>
        <v>1361000294</v>
      </c>
    </row>
    <row r="42" spans="1:19">
      <c r="A42" s="2" t="str">
        <f>"20160224"</f>
        <v>20160224</v>
      </c>
      <c r="B42" s="2" t="str">
        <f t="shared" si="17"/>
        <v>600066</v>
      </c>
      <c r="C42" s="2" t="str">
        <f t="shared" si="18"/>
        <v>宇通客车</v>
      </c>
      <c r="D42" s="2" t="str">
        <f t="shared" ref="D42:D47" si="20">"担保品卖出"</f>
        <v>担保品卖出</v>
      </c>
      <c r="E42" s="2">
        <v>19.38</v>
      </c>
      <c r="F42" s="2">
        <v>500</v>
      </c>
      <c r="G42" s="2">
        <v>9690</v>
      </c>
      <c r="H42" s="2">
        <v>5</v>
      </c>
      <c r="I42" s="2">
        <v>4.34</v>
      </c>
      <c r="J42" s="2">
        <v>9.69</v>
      </c>
      <c r="K42" s="2">
        <v>0.19</v>
      </c>
      <c r="L42" s="2">
        <v>0</v>
      </c>
      <c r="M42" s="2">
        <v>0</v>
      </c>
      <c r="N42" s="2">
        <v>9675.12</v>
      </c>
      <c r="O42" s="2">
        <v>10610.37</v>
      </c>
      <c r="P42" s="2">
        <v>2500</v>
      </c>
      <c r="Q42" s="2" t="str">
        <f t="shared" si="19"/>
        <v>E021635187</v>
      </c>
      <c r="R42" s="2" t="str">
        <f t="shared" si="0"/>
        <v>人民币</v>
      </c>
      <c r="S42" s="2" t="str">
        <f>"1361000661"</f>
        <v>1361000661</v>
      </c>
    </row>
    <row r="43" spans="1:19">
      <c r="A43" s="2" t="str">
        <f>"20160224"</f>
        <v>20160224</v>
      </c>
      <c r="D43" s="2" t="str">
        <f>"偿还融资负债本金"</f>
        <v>偿还融资负债本金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-9651.05</v>
      </c>
      <c r="O43" s="2">
        <v>959.32</v>
      </c>
      <c r="P43" s="2">
        <v>0</v>
      </c>
      <c r="R43" s="2" t="str">
        <f t="shared" si="0"/>
        <v>人民币</v>
      </c>
      <c r="S43" s="2" t="str">
        <f>"1361000661"</f>
        <v>1361000661</v>
      </c>
    </row>
    <row r="44" spans="1:19">
      <c r="A44" s="2" t="str">
        <f t="shared" ref="A44:A55" si="21">"20160225"</f>
        <v>20160225</v>
      </c>
      <c r="B44" s="2" t="str">
        <f t="shared" ref="B44:B47" si="22">"600066"</f>
        <v>600066</v>
      </c>
      <c r="C44" s="2" t="str">
        <f t="shared" ref="C44:C47" si="23">"宇通客车"</f>
        <v>宇通客车</v>
      </c>
      <c r="D44" s="2" t="str">
        <f t="shared" si="20"/>
        <v>担保品卖出</v>
      </c>
      <c r="E44" s="2">
        <v>19.87</v>
      </c>
      <c r="F44" s="2">
        <v>500</v>
      </c>
      <c r="G44" s="2">
        <v>9935</v>
      </c>
      <c r="H44" s="2">
        <v>5</v>
      </c>
      <c r="I44" s="2">
        <v>4.32</v>
      </c>
      <c r="J44" s="2">
        <v>9.94</v>
      </c>
      <c r="K44" s="2">
        <v>0.2</v>
      </c>
      <c r="L44" s="2">
        <v>0</v>
      </c>
      <c r="M44" s="2">
        <v>0</v>
      </c>
      <c r="N44" s="2">
        <v>9919.86</v>
      </c>
      <c r="O44" s="2">
        <v>10879.18</v>
      </c>
      <c r="P44" s="2">
        <v>2000</v>
      </c>
      <c r="Q44" s="2" t="str">
        <f t="shared" si="19"/>
        <v>E021635187</v>
      </c>
      <c r="R44" s="2" t="str">
        <f t="shared" si="0"/>
        <v>人民币</v>
      </c>
      <c r="S44" s="2" t="str">
        <f>"1361000092"</f>
        <v>1361000092</v>
      </c>
    </row>
    <row r="45" spans="1:19">
      <c r="A45" s="2" t="str">
        <f t="shared" si="21"/>
        <v>20160225</v>
      </c>
      <c r="B45" s="2" t="str">
        <f>"600219"</f>
        <v>600219</v>
      </c>
      <c r="C45" s="2" t="str">
        <f>"南山铝业"</f>
        <v>南山铝业</v>
      </c>
      <c r="D45" s="2" t="str">
        <f>"融资买入"</f>
        <v>融资买入</v>
      </c>
      <c r="E45" s="2">
        <v>7.06</v>
      </c>
      <c r="F45" s="2">
        <v>3000</v>
      </c>
      <c r="G45" s="2">
        <v>21180</v>
      </c>
      <c r="H45" s="2">
        <v>23.3</v>
      </c>
      <c r="I45" s="2">
        <v>21.85</v>
      </c>
      <c r="J45" s="2">
        <v>0</v>
      </c>
      <c r="K45" s="2">
        <v>0.42</v>
      </c>
      <c r="L45" s="2">
        <v>0</v>
      </c>
      <c r="M45" s="2">
        <v>0</v>
      </c>
      <c r="N45" s="2">
        <v>-21203.72</v>
      </c>
      <c r="O45" s="2">
        <v>-10324.54</v>
      </c>
      <c r="P45" s="2">
        <v>3000</v>
      </c>
      <c r="Q45" s="2" t="str">
        <f t="shared" si="19"/>
        <v>E021635187</v>
      </c>
      <c r="R45" s="2" t="str">
        <f t="shared" si="0"/>
        <v>人民币</v>
      </c>
      <c r="S45" s="2" t="str">
        <f>"1361000118"</f>
        <v>1361000118</v>
      </c>
    </row>
    <row r="46" spans="1:19">
      <c r="A46" s="2" t="str">
        <f t="shared" si="21"/>
        <v>20160225</v>
      </c>
      <c r="B46" s="2" t="str">
        <f t="shared" si="22"/>
        <v>600066</v>
      </c>
      <c r="C46" s="2" t="str">
        <f t="shared" si="23"/>
        <v>宇通客车</v>
      </c>
      <c r="D46" s="2" t="str">
        <f>"融资买入"</f>
        <v>融资买入</v>
      </c>
      <c r="E46" s="2">
        <v>19.79</v>
      </c>
      <c r="F46" s="2">
        <v>500</v>
      </c>
      <c r="G46" s="2">
        <v>9895</v>
      </c>
      <c r="H46" s="2">
        <v>10.88</v>
      </c>
      <c r="I46" s="2">
        <v>10.2</v>
      </c>
      <c r="J46" s="2">
        <v>0</v>
      </c>
      <c r="K46" s="2">
        <v>0.2</v>
      </c>
      <c r="L46" s="2">
        <v>0</v>
      </c>
      <c r="M46" s="2">
        <v>0</v>
      </c>
      <c r="N46" s="2">
        <v>-9906.08</v>
      </c>
      <c r="O46" s="2">
        <v>-20230.62</v>
      </c>
      <c r="P46" s="2">
        <v>2500</v>
      </c>
      <c r="Q46" s="2" t="str">
        <f t="shared" si="19"/>
        <v>E021635187</v>
      </c>
      <c r="R46" s="2" t="str">
        <f t="shared" si="0"/>
        <v>人民币</v>
      </c>
      <c r="S46" s="2" t="str">
        <f>"1361000159"</f>
        <v>1361000159</v>
      </c>
    </row>
    <row r="47" spans="1:19">
      <c r="A47" s="2" t="str">
        <f t="shared" si="21"/>
        <v>20160225</v>
      </c>
      <c r="B47" s="2" t="str">
        <f t="shared" si="22"/>
        <v>600066</v>
      </c>
      <c r="C47" s="2" t="str">
        <f t="shared" si="23"/>
        <v>宇通客车</v>
      </c>
      <c r="D47" s="2" t="str">
        <f t="shared" si="20"/>
        <v>担保品卖出</v>
      </c>
      <c r="E47" s="2">
        <v>19.66</v>
      </c>
      <c r="F47" s="2">
        <v>500</v>
      </c>
      <c r="G47" s="2">
        <v>9830</v>
      </c>
      <c r="H47" s="2">
        <v>5</v>
      </c>
      <c r="I47" s="2">
        <v>4.32</v>
      </c>
      <c r="J47" s="2">
        <v>9.83</v>
      </c>
      <c r="K47" s="2">
        <v>0.2</v>
      </c>
      <c r="L47" s="2">
        <v>0</v>
      </c>
      <c r="M47" s="2">
        <v>0</v>
      </c>
      <c r="N47" s="2">
        <v>9814.97</v>
      </c>
      <c r="O47" s="2">
        <v>-10415.65</v>
      </c>
      <c r="P47" s="2">
        <v>2000</v>
      </c>
      <c r="Q47" s="2" t="str">
        <f t="shared" si="19"/>
        <v>E021635187</v>
      </c>
      <c r="R47" s="2" t="str">
        <f t="shared" si="0"/>
        <v>人民币</v>
      </c>
      <c r="S47" s="2" t="str">
        <f>"1361000203"</f>
        <v>1361000203</v>
      </c>
    </row>
    <row r="48" spans="1:19">
      <c r="A48" s="2" t="str">
        <f t="shared" si="21"/>
        <v>20160225</v>
      </c>
      <c r="D48" s="2" t="str">
        <f>"融资借入"</f>
        <v>融资借入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9906.08</v>
      </c>
      <c r="O48" s="2">
        <v>-509.57</v>
      </c>
      <c r="P48" s="2">
        <v>0</v>
      </c>
      <c r="R48" s="2" t="str">
        <f t="shared" si="0"/>
        <v>人民币</v>
      </c>
      <c r="S48" s="2" t="str">
        <f>"1361000159"</f>
        <v>1361000159</v>
      </c>
    </row>
    <row r="49" spans="1:19">
      <c r="A49" s="2" t="str">
        <f t="shared" si="21"/>
        <v>20160225</v>
      </c>
      <c r="D49" s="2" t="str">
        <f>"融资借入"</f>
        <v>融资借入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21203.72</v>
      </c>
      <c r="O49" s="2">
        <v>20694.15</v>
      </c>
      <c r="P49" s="2">
        <v>0</v>
      </c>
      <c r="R49" s="2" t="str">
        <f t="shared" si="0"/>
        <v>人民币</v>
      </c>
      <c r="S49" s="2" t="str">
        <f>"1361000118"</f>
        <v>1361000118</v>
      </c>
    </row>
    <row r="50" spans="1:19">
      <c r="A50" s="2" t="str">
        <f t="shared" si="21"/>
        <v>20160225</v>
      </c>
      <c r="D50" s="2" t="str">
        <f t="shared" ref="D50:D53" si="24">"偿还融资负债本金"</f>
        <v>偿还融资负债本金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-2093.12</v>
      </c>
      <c r="O50" s="2">
        <v>18601.03</v>
      </c>
      <c r="P50" s="2">
        <v>0</v>
      </c>
      <c r="R50" s="2" t="str">
        <f t="shared" si="0"/>
        <v>人民币</v>
      </c>
      <c r="S50" s="2" t="str">
        <f>"1361000092"</f>
        <v>1361000092</v>
      </c>
    </row>
    <row r="51" spans="1:19">
      <c r="A51" s="2" t="str">
        <f t="shared" si="21"/>
        <v>20160225</v>
      </c>
      <c r="D51" s="2" t="str">
        <f t="shared" si="24"/>
        <v>偿还融资负债本金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-7801.93</v>
      </c>
      <c r="O51" s="2">
        <v>10799.1</v>
      </c>
      <c r="P51" s="2">
        <v>0</v>
      </c>
      <c r="R51" s="2" t="str">
        <f t="shared" si="0"/>
        <v>人民币</v>
      </c>
      <c r="S51" s="2" t="str">
        <f>"1361000092"</f>
        <v>1361000092</v>
      </c>
    </row>
    <row r="52" spans="1:19">
      <c r="A52" s="2" t="str">
        <f t="shared" si="21"/>
        <v>20160225</v>
      </c>
      <c r="D52" s="2" t="str">
        <f t="shared" si="24"/>
        <v>偿还融资负债本金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-1837.85</v>
      </c>
      <c r="O52" s="2">
        <v>8961.25</v>
      </c>
      <c r="P52" s="2">
        <v>0</v>
      </c>
      <c r="R52" s="2" t="str">
        <f t="shared" si="0"/>
        <v>人民币</v>
      </c>
      <c r="S52" s="2" t="str">
        <f>"1361000203"</f>
        <v>1361000203</v>
      </c>
    </row>
    <row r="53" spans="1:19">
      <c r="A53" s="2" t="str">
        <f t="shared" si="21"/>
        <v>20160225</v>
      </c>
      <c r="D53" s="2" t="str">
        <f t="shared" si="24"/>
        <v>偿还融资负债本金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-7952.63</v>
      </c>
      <c r="O53" s="2">
        <v>1008.62</v>
      </c>
      <c r="P53" s="2">
        <v>0</v>
      </c>
      <c r="R53" s="2" t="str">
        <f t="shared" si="0"/>
        <v>人民币</v>
      </c>
      <c r="S53" s="2" t="str">
        <f>"1361000203"</f>
        <v>1361000203</v>
      </c>
    </row>
    <row r="54" spans="1:18">
      <c r="A54" s="2" t="str">
        <f t="shared" si="21"/>
        <v>20160225</v>
      </c>
      <c r="D54" s="2" t="str">
        <f>"偿还融资利息"</f>
        <v>偿还融资利息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-246.89</v>
      </c>
      <c r="O54" s="2">
        <v>761.73</v>
      </c>
      <c r="P54" s="2">
        <v>0</v>
      </c>
      <c r="R54" s="2" t="str">
        <f t="shared" si="0"/>
        <v>人民币</v>
      </c>
    </row>
    <row r="55" spans="1:18">
      <c r="A55" s="2" t="str">
        <f t="shared" si="21"/>
        <v>20160225</v>
      </c>
      <c r="D55" s="2" t="str">
        <f>"偿还融资利息"</f>
        <v>偿还融资利息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-100.72</v>
      </c>
      <c r="O55" s="2">
        <v>661.01</v>
      </c>
      <c r="P55" s="2">
        <v>0</v>
      </c>
      <c r="R55" s="2" t="str">
        <f t="shared" si="0"/>
        <v>人民币</v>
      </c>
    </row>
    <row r="56" spans="1:19">
      <c r="A56" s="2" t="str">
        <f t="shared" ref="A56:A65" si="25">"20160226"</f>
        <v>20160226</v>
      </c>
      <c r="B56" s="2" t="str">
        <f>"600066"</f>
        <v>600066</v>
      </c>
      <c r="C56" s="2" t="str">
        <f>"宇通客车"</f>
        <v>宇通客车</v>
      </c>
      <c r="D56" s="2" t="str">
        <f>"融资买入"</f>
        <v>融资买入</v>
      </c>
      <c r="E56" s="2">
        <v>19.22</v>
      </c>
      <c r="F56" s="2">
        <v>500</v>
      </c>
      <c r="G56" s="2">
        <v>9610</v>
      </c>
      <c r="H56" s="2">
        <v>10.57</v>
      </c>
      <c r="I56" s="2">
        <v>9.91</v>
      </c>
      <c r="J56" s="2">
        <v>0</v>
      </c>
      <c r="K56" s="2">
        <v>0.19</v>
      </c>
      <c r="L56" s="2">
        <v>0</v>
      </c>
      <c r="M56" s="2">
        <v>0</v>
      </c>
      <c r="N56" s="2">
        <v>-9620.76</v>
      </c>
      <c r="O56" s="2">
        <v>-8959.75</v>
      </c>
      <c r="P56" s="2">
        <v>2500</v>
      </c>
      <c r="Q56" s="2" t="str">
        <f t="shared" ref="Q56:Q59" si="26">"E021635187"</f>
        <v>E021635187</v>
      </c>
      <c r="R56" s="2" t="str">
        <f t="shared" si="0"/>
        <v>人民币</v>
      </c>
      <c r="S56" s="2" t="str">
        <f>"1361000449"</f>
        <v>1361000449</v>
      </c>
    </row>
    <row r="57" spans="1:19">
      <c r="A57" s="2" t="str">
        <f t="shared" si="25"/>
        <v>20160226</v>
      </c>
      <c r="B57" s="2" t="str">
        <f>"600219"</f>
        <v>600219</v>
      </c>
      <c r="C57" s="2" t="str">
        <f>"南山铝业"</f>
        <v>南山铝业</v>
      </c>
      <c r="D57" s="2" t="str">
        <f>"担保品卖出"</f>
        <v>担保品卖出</v>
      </c>
      <c r="E57" s="2">
        <v>6.52</v>
      </c>
      <c r="F57" s="2">
        <v>3000</v>
      </c>
      <c r="G57" s="2">
        <v>19560</v>
      </c>
      <c r="H57" s="2">
        <v>6.06</v>
      </c>
      <c r="I57" s="2">
        <v>4.72</v>
      </c>
      <c r="J57" s="2">
        <v>19.56</v>
      </c>
      <c r="K57" s="2">
        <v>0.39</v>
      </c>
      <c r="L57" s="2">
        <v>0</v>
      </c>
      <c r="M57" s="2">
        <v>0</v>
      </c>
      <c r="N57" s="2">
        <v>19533.99</v>
      </c>
      <c r="O57" s="2">
        <v>10574.24</v>
      </c>
      <c r="P57" s="2">
        <v>0</v>
      </c>
      <c r="Q57" s="2" t="str">
        <f t="shared" si="26"/>
        <v>E021635187</v>
      </c>
      <c r="R57" s="2" t="str">
        <f t="shared" si="0"/>
        <v>人民币</v>
      </c>
      <c r="S57" s="2" t="str">
        <f>"1361000621"</f>
        <v>1361000621</v>
      </c>
    </row>
    <row r="58" spans="1:19">
      <c r="A58" s="2" t="str">
        <f t="shared" si="25"/>
        <v>20160226</v>
      </c>
      <c r="B58" s="2" t="str">
        <f>"600066"</f>
        <v>600066</v>
      </c>
      <c r="C58" s="2" t="str">
        <f>"宇通客车"</f>
        <v>宇通客车</v>
      </c>
      <c r="D58" s="2" t="str">
        <f>"担保品卖出"</f>
        <v>担保品卖出</v>
      </c>
      <c r="E58" s="2">
        <v>18.92</v>
      </c>
      <c r="F58" s="2">
        <v>500</v>
      </c>
      <c r="G58" s="2">
        <v>9460</v>
      </c>
      <c r="H58" s="2">
        <v>5</v>
      </c>
      <c r="I58" s="2">
        <v>4.35</v>
      </c>
      <c r="J58" s="2">
        <v>9.46</v>
      </c>
      <c r="K58" s="2">
        <v>0.19</v>
      </c>
      <c r="L58" s="2">
        <v>0</v>
      </c>
      <c r="M58" s="2">
        <v>0</v>
      </c>
      <c r="N58" s="2">
        <v>9445.35</v>
      </c>
      <c r="O58" s="2">
        <v>20019.59</v>
      </c>
      <c r="P58" s="2">
        <v>2000</v>
      </c>
      <c r="Q58" s="2" t="str">
        <f t="shared" si="26"/>
        <v>E021635187</v>
      </c>
      <c r="R58" s="2" t="str">
        <f t="shared" si="0"/>
        <v>人民币</v>
      </c>
      <c r="S58" s="2" t="str">
        <f>"1361000645"</f>
        <v>1361000645</v>
      </c>
    </row>
    <row r="59" spans="1:19">
      <c r="A59" s="2" t="str">
        <f t="shared" si="25"/>
        <v>20160226</v>
      </c>
      <c r="B59" s="2" t="str">
        <f>"600219"</f>
        <v>600219</v>
      </c>
      <c r="C59" s="2" t="str">
        <f>"南山铝业"</f>
        <v>南山铝业</v>
      </c>
      <c r="D59" s="2" t="str">
        <f>"融资买入"</f>
        <v>融资买入</v>
      </c>
      <c r="E59" s="2">
        <v>6.62</v>
      </c>
      <c r="F59" s="2">
        <v>3000</v>
      </c>
      <c r="G59" s="2">
        <v>19860</v>
      </c>
      <c r="H59" s="2">
        <v>21.85</v>
      </c>
      <c r="I59" s="2">
        <v>20.48</v>
      </c>
      <c r="J59" s="2">
        <v>0</v>
      </c>
      <c r="K59" s="2">
        <v>0.4</v>
      </c>
      <c r="L59" s="2">
        <v>0</v>
      </c>
      <c r="M59" s="2">
        <v>0</v>
      </c>
      <c r="N59" s="2">
        <v>-19882.25</v>
      </c>
      <c r="O59" s="2">
        <v>137.34</v>
      </c>
      <c r="P59" s="2">
        <v>3000</v>
      </c>
      <c r="Q59" s="2" t="str">
        <f t="shared" si="26"/>
        <v>E021635187</v>
      </c>
      <c r="R59" s="2" t="str">
        <f t="shared" si="0"/>
        <v>人民币</v>
      </c>
      <c r="S59" s="2" t="str">
        <f>"1361000661"</f>
        <v>1361000661</v>
      </c>
    </row>
    <row r="60" spans="1:19">
      <c r="A60" s="2" t="str">
        <f t="shared" si="25"/>
        <v>20160226</v>
      </c>
      <c r="D60" s="2" t="str">
        <f>"融资借入"</f>
        <v>融资借入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9620.76</v>
      </c>
      <c r="O60" s="2">
        <v>9758.1</v>
      </c>
      <c r="P60" s="2">
        <v>0</v>
      </c>
      <c r="R60" s="2" t="str">
        <f t="shared" si="0"/>
        <v>人民币</v>
      </c>
      <c r="S60" s="2" t="str">
        <f>"1361000449"</f>
        <v>1361000449</v>
      </c>
    </row>
    <row r="61" spans="1:19">
      <c r="A61" s="2" t="str">
        <f t="shared" si="25"/>
        <v>20160226</v>
      </c>
      <c r="D61" s="2" t="str">
        <f>"融资借入"</f>
        <v>融资借入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19882.25</v>
      </c>
      <c r="O61" s="2">
        <v>29640.35</v>
      </c>
      <c r="P61" s="2">
        <v>0</v>
      </c>
      <c r="R61" s="2" t="str">
        <f t="shared" si="0"/>
        <v>人民币</v>
      </c>
      <c r="S61" s="2" t="str">
        <f>"1361000661"</f>
        <v>1361000661</v>
      </c>
    </row>
    <row r="62" spans="1:19">
      <c r="A62" s="2" t="str">
        <f t="shared" si="25"/>
        <v>20160226</v>
      </c>
      <c r="D62" s="2" t="str">
        <f t="shared" ref="D62:D64" si="27">"偿还融资负债本金"</f>
        <v>偿还融资负债本金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-19481.37</v>
      </c>
      <c r="O62" s="2">
        <v>10158.98</v>
      </c>
      <c r="P62" s="2">
        <v>0</v>
      </c>
      <c r="R62" s="2" t="str">
        <f t="shared" si="0"/>
        <v>人民币</v>
      </c>
      <c r="S62" s="2" t="str">
        <f>"1361000621"</f>
        <v>1361000621</v>
      </c>
    </row>
    <row r="63" spans="1:19">
      <c r="A63" s="2" t="str">
        <f t="shared" si="25"/>
        <v>20160226</v>
      </c>
      <c r="D63" s="2" t="str">
        <f t="shared" si="27"/>
        <v>偿还融资负债本金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-1708.18</v>
      </c>
      <c r="O63" s="2">
        <v>8450.8</v>
      </c>
      <c r="P63" s="2">
        <v>0</v>
      </c>
      <c r="R63" s="2" t="str">
        <f t="shared" si="0"/>
        <v>人民币</v>
      </c>
      <c r="S63" s="2" t="str">
        <f>"1361000645"</f>
        <v>1361000645</v>
      </c>
    </row>
    <row r="64" spans="1:19">
      <c r="A64" s="2" t="str">
        <f t="shared" si="25"/>
        <v>20160226</v>
      </c>
      <c r="D64" s="2" t="str">
        <f t="shared" si="27"/>
        <v>偿还融资负债本金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-7713.79</v>
      </c>
      <c r="O64" s="2">
        <v>737.01</v>
      </c>
      <c r="P64" s="2">
        <v>0</v>
      </c>
      <c r="R64" s="2" t="str">
        <f t="shared" si="0"/>
        <v>人民币</v>
      </c>
      <c r="S64" s="2" t="str">
        <f>"1361000645"</f>
        <v>1361000645</v>
      </c>
    </row>
    <row r="65" spans="1:18">
      <c r="A65" s="2" t="str">
        <f t="shared" si="25"/>
        <v>20160226</v>
      </c>
      <c r="D65" s="2" t="str">
        <f>"偿还融资利息"</f>
        <v>偿还融资利息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-13.84</v>
      </c>
      <c r="O65" s="2">
        <v>723.17</v>
      </c>
      <c r="P65" s="2">
        <v>0</v>
      </c>
      <c r="R65" s="2" t="str">
        <f t="shared" si="0"/>
        <v>人民币</v>
      </c>
    </row>
    <row r="66" spans="1:19">
      <c r="A66" s="2" t="str">
        <f t="shared" ref="A66:A79" si="28">"20160301"</f>
        <v>20160301</v>
      </c>
      <c r="B66" s="2" t="str">
        <f>"600219"</f>
        <v>600219</v>
      </c>
      <c r="C66" s="2" t="str">
        <f>"南山铝业"</f>
        <v>南山铝业</v>
      </c>
      <c r="D66" s="2" t="str">
        <f>"担保品卖出"</f>
        <v>担保品卖出</v>
      </c>
      <c r="E66" s="2">
        <v>6.802</v>
      </c>
      <c r="F66" s="2">
        <v>3000</v>
      </c>
      <c r="G66" s="2">
        <v>20405</v>
      </c>
      <c r="H66" s="2">
        <v>6.33</v>
      </c>
      <c r="I66" s="2">
        <v>4.92</v>
      </c>
      <c r="J66" s="2">
        <v>20.4</v>
      </c>
      <c r="K66" s="2">
        <v>0.41</v>
      </c>
      <c r="L66" s="2">
        <v>0</v>
      </c>
      <c r="M66" s="2">
        <v>0</v>
      </c>
      <c r="N66" s="2">
        <v>20377.86</v>
      </c>
      <c r="O66" s="2">
        <v>21101.03</v>
      </c>
      <c r="P66" s="2">
        <v>0</v>
      </c>
      <c r="Q66" s="2" t="str">
        <f t="shared" ref="Q66:Q69" si="29">"E021635187"</f>
        <v>E021635187</v>
      </c>
      <c r="R66" s="2" t="str">
        <f t="shared" ref="R66:R96" si="30">"人民币"</f>
        <v>人民币</v>
      </c>
      <c r="S66" s="2" t="str">
        <f>"1361000371"</f>
        <v>1361000371</v>
      </c>
    </row>
    <row r="67" spans="1:19">
      <c r="A67" s="2" t="str">
        <f t="shared" si="28"/>
        <v>20160301</v>
      </c>
      <c r="B67" s="2" t="str">
        <f t="shared" ref="B67:B69" si="31">"600066"</f>
        <v>600066</v>
      </c>
      <c r="C67" s="2" t="str">
        <f t="shared" ref="C67:C69" si="32">"宇通客车"</f>
        <v>宇通客车</v>
      </c>
      <c r="D67" s="2" t="str">
        <f>"融资买入"</f>
        <v>融资买入</v>
      </c>
      <c r="E67" s="2">
        <v>18.65</v>
      </c>
      <c r="F67" s="2">
        <v>1000</v>
      </c>
      <c r="G67" s="2">
        <v>18650</v>
      </c>
      <c r="H67" s="2">
        <v>20.52</v>
      </c>
      <c r="I67" s="2">
        <v>19.24</v>
      </c>
      <c r="J67" s="2">
        <v>0</v>
      </c>
      <c r="K67" s="2">
        <v>0.37</v>
      </c>
      <c r="L67" s="2">
        <v>0</v>
      </c>
      <c r="M67" s="2">
        <v>0</v>
      </c>
      <c r="N67" s="2">
        <v>-18670.89</v>
      </c>
      <c r="O67" s="2">
        <v>2430.14</v>
      </c>
      <c r="P67" s="2">
        <v>3000</v>
      </c>
      <c r="Q67" s="2" t="str">
        <f t="shared" si="29"/>
        <v>E021635187</v>
      </c>
      <c r="R67" s="2" t="str">
        <f t="shared" si="30"/>
        <v>人民币</v>
      </c>
      <c r="S67" s="2" t="str">
        <f>"1361000407"</f>
        <v>1361000407</v>
      </c>
    </row>
    <row r="68" spans="1:19">
      <c r="A68" s="2" t="str">
        <f t="shared" si="28"/>
        <v>20160301</v>
      </c>
      <c r="B68" s="2" t="str">
        <f t="shared" si="31"/>
        <v>600066</v>
      </c>
      <c r="C68" s="2" t="str">
        <f t="shared" si="32"/>
        <v>宇通客车</v>
      </c>
      <c r="D68" s="2" t="str">
        <f>"担保品卖出"</f>
        <v>担保品卖出</v>
      </c>
      <c r="E68" s="2">
        <v>18.37</v>
      </c>
      <c r="F68" s="2">
        <v>1000</v>
      </c>
      <c r="G68" s="2">
        <v>18370</v>
      </c>
      <c r="H68" s="2">
        <v>5.69</v>
      </c>
      <c r="I68" s="2">
        <v>4.42</v>
      </c>
      <c r="J68" s="2">
        <v>18.37</v>
      </c>
      <c r="K68" s="2">
        <v>0.37</v>
      </c>
      <c r="L68" s="2">
        <v>0</v>
      </c>
      <c r="M68" s="2">
        <v>0</v>
      </c>
      <c r="N68" s="2">
        <v>18345.57</v>
      </c>
      <c r="O68" s="2">
        <v>20775.71</v>
      </c>
      <c r="P68" s="2">
        <v>2000</v>
      </c>
      <c r="Q68" s="2" t="str">
        <f t="shared" si="29"/>
        <v>E021635187</v>
      </c>
      <c r="R68" s="2" t="str">
        <f t="shared" si="30"/>
        <v>人民币</v>
      </c>
      <c r="S68" s="2" t="str">
        <f>"1361000488"</f>
        <v>1361000488</v>
      </c>
    </row>
    <row r="69" spans="1:19">
      <c r="A69" s="2" t="str">
        <f t="shared" si="28"/>
        <v>20160301</v>
      </c>
      <c r="B69" s="2" t="str">
        <f t="shared" si="31"/>
        <v>600066</v>
      </c>
      <c r="C69" s="2" t="str">
        <f t="shared" si="32"/>
        <v>宇通客车</v>
      </c>
      <c r="D69" s="2" t="str">
        <f>"融资买入"</f>
        <v>融资买入</v>
      </c>
      <c r="E69" s="2">
        <v>18.37</v>
      </c>
      <c r="F69" s="2">
        <v>1000</v>
      </c>
      <c r="G69" s="2">
        <v>18370</v>
      </c>
      <c r="H69" s="2">
        <v>20.21</v>
      </c>
      <c r="I69" s="2">
        <v>18.93</v>
      </c>
      <c r="J69" s="2">
        <v>0</v>
      </c>
      <c r="K69" s="2">
        <v>0.37</v>
      </c>
      <c r="L69" s="2">
        <v>0</v>
      </c>
      <c r="M69" s="2">
        <v>0</v>
      </c>
      <c r="N69" s="2">
        <v>-18390.58</v>
      </c>
      <c r="O69" s="2">
        <v>2385.13</v>
      </c>
      <c r="P69" s="2">
        <v>3000</v>
      </c>
      <c r="Q69" s="2" t="str">
        <f t="shared" si="29"/>
        <v>E021635187</v>
      </c>
      <c r="R69" s="2" t="str">
        <f t="shared" si="30"/>
        <v>人民币</v>
      </c>
      <c r="S69" s="2" t="str">
        <f>"1361000523"</f>
        <v>1361000523</v>
      </c>
    </row>
    <row r="70" spans="1:19">
      <c r="A70" s="2" t="str">
        <f t="shared" si="28"/>
        <v>20160301</v>
      </c>
      <c r="D70" s="2" t="str">
        <f>"融资借入"</f>
        <v>融资借入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18670.89</v>
      </c>
      <c r="O70" s="2">
        <v>21056.02</v>
      </c>
      <c r="P70" s="2">
        <v>0</v>
      </c>
      <c r="R70" s="2" t="str">
        <f t="shared" si="30"/>
        <v>人民币</v>
      </c>
      <c r="S70" s="2" t="str">
        <f>"1361000407"</f>
        <v>1361000407</v>
      </c>
    </row>
    <row r="71" spans="1:19">
      <c r="A71" s="2" t="str">
        <f t="shared" si="28"/>
        <v>20160301</v>
      </c>
      <c r="D71" s="2" t="str">
        <f>"融资借入"</f>
        <v>融资借入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18390.58</v>
      </c>
      <c r="O71" s="2">
        <v>39446.6</v>
      </c>
      <c r="P71" s="2">
        <v>0</v>
      </c>
      <c r="R71" s="2" t="str">
        <f t="shared" si="30"/>
        <v>人民币</v>
      </c>
      <c r="S71" s="2" t="str">
        <f>"1361000523"</f>
        <v>1361000523</v>
      </c>
    </row>
    <row r="72" spans="1:19">
      <c r="A72" s="2" t="str">
        <f t="shared" si="28"/>
        <v>20160301</v>
      </c>
      <c r="D72" s="2" t="str">
        <f t="shared" ref="D72:D76" si="33">"偿还融资负债本金"</f>
        <v>偿还融资负债本金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-1722.35</v>
      </c>
      <c r="O72" s="2">
        <v>37724.25</v>
      </c>
      <c r="P72" s="2">
        <v>0</v>
      </c>
      <c r="R72" s="2" t="str">
        <f t="shared" si="30"/>
        <v>人民币</v>
      </c>
      <c r="S72" s="2" t="str">
        <f>"1361000371"</f>
        <v>1361000371</v>
      </c>
    </row>
    <row r="73" spans="1:19">
      <c r="A73" s="2" t="str">
        <f t="shared" si="28"/>
        <v>20160301</v>
      </c>
      <c r="D73" s="2" t="str">
        <f t="shared" si="33"/>
        <v>偿还融资负债本金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-18600.61</v>
      </c>
      <c r="O73" s="2">
        <v>19123.64</v>
      </c>
      <c r="P73" s="2">
        <v>0</v>
      </c>
      <c r="R73" s="2" t="str">
        <f t="shared" si="30"/>
        <v>人民币</v>
      </c>
      <c r="S73" s="2" t="str">
        <f>"1361000371"</f>
        <v>1361000371</v>
      </c>
    </row>
    <row r="74" spans="1:19">
      <c r="A74" s="2" t="str">
        <f t="shared" si="28"/>
        <v>20160301</v>
      </c>
      <c r="D74" s="2" t="str">
        <f t="shared" si="33"/>
        <v>偿还融资负债本金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-1876.94</v>
      </c>
      <c r="O74" s="2">
        <v>17246.7</v>
      </c>
      <c r="P74" s="2">
        <v>0</v>
      </c>
      <c r="R74" s="2" t="str">
        <f t="shared" si="30"/>
        <v>人民币</v>
      </c>
      <c r="S74" s="2" t="str">
        <f t="shared" ref="S74:S76" si="34">"1361000488"</f>
        <v>1361000488</v>
      </c>
    </row>
    <row r="75" spans="1:19">
      <c r="A75" s="2" t="str">
        <f t="shared" si="28"/>
        <v>20160301</v>
      </c>
      <c r="D75" s="2" t="str">
        <f t="shared" si="33"/>
        <v>偿还融资负债本金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-9906.08</v>
      </c>
      <c r="O75" s="2">
        <v>7340.62</v>
      </c>
      <c r="P75" s="2">
        <v>0</v>
      </c>
      <c r="R75" s="2" t="str">
        <f t="shared" si="30"/>
        <v>人民币</v>
      </c>
      <c r="S75" s="2" t="str">
        <f t="shared" si="34"/>
        <v>1361000488</v>
      </c>
    </row>
    <row r="76" spans="1:19">
      <c r="A76" s="2" t="str">
        <f t="shared" si="28"/>
        <v>20160301</v>
      </c>
      <c r="D76" s="2" t="str">
        <f t="shared" si="33"/>
        <v>偿还融资负债本金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-6513.13</v>
      </c>
      <c r="O76" s="2">
        <v>827.49</v>
      </c>
      <c r="P76" s="2">
        <v>0</v>
      </c>
      <c r="R76" s="2" t="str">
        <f t="shared" si="30"/>
        <v>人民币</v>
      </c>
      <c r="S76" s="2" t="str">
        <f t="shared" si="34"/>
        <v>1361000488</v>
      </c>
    </row>
    <row r="77" spans="1:18">
      <c r="A77" s="2" t="str">
        <f t="shared" si="28"/>
        <v>20160301</v>
      </c>
      <c r="D77" s="2" t="str">
        <f t="shared" ref="D77:D79" si="35">"偿还融资利息"</f>
        <v>偿还融资利息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-8.41</v>
      </c>
      <c r="O77" s="2">
        <v>819.08</v>
      </c>
      <c r="P77" s="2">
        <v>0</v>
      </c>
      <c r="R77" s="2" t="str">
        <f t="shared" si="30"/>
        <v>人民币</v>
      </c>
    </row>
    <row r="78" spans="1:18">
      <c r="A78" s="2" t="str">
        <f t="shared" si="28"/>
        <v>20160301</v>
      </c>
      <c r="D78" s="2" t="str">
        <f t="shared" si="35"/>
        <v>偿还融资利息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-6.52</v>
      </c>
      <c r="O78" s="2">
        <v>812.56</v>
      </c>
      <c r="P78" s="2">
        <v>0</v>
      </c>
      <c r="R78" s="2" t="str">
        <f t="shared" si="30"/>
        <v>人民币</v>
      </c>
    </row>
    <row r="79" spans="1:18">
      <c r="A79" s="2" t="str">
        <f t="shared" si="28"/>
        <v>20160301</v>
      </c>
      <c r="D79" s="2" t="str">
        <f t="shared" si="35"/>
        <v>偿还融资利息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-11.5</v>
      </c>
      <c r="O79" s="2">
        <v>801.06</v>
      </c>
      <c r="P79" s="2">
        <v>0</v>
      </c>
      <c r="R79" s="2" t="str">
        <f t="shared" si="30"/>
        <v>人民币</v>
      </c>
    </row>
    <row r="80" spans="1:19">
      <c r="A80" s="2" t="str">
        <f t="shared" ref="A80:A83" si="36">"20160303"</f>
        <v>20160303</v>
      </c>
      <c r="B80" s="2" t="str">
        <f>"600066"</f>
        <v>600066</v>
      </c>
      <c r="C80" s="2" t="str">
        <f>"宇通客车"</f>
        <v>宇通客车</v>
      </c>
      <c r="D80" s="2" t="str">
        <f>"担保品卖出"</f>
        <v>担保品卖出</v>
      </c>
      <c r="E80" s="2">
        <v>19.47</v>
      </c>
      <c r="F80" s="2">
        <v>1000</v>
      </c>
      <c r="G80" s="2">
        <v>19470</v>
      </c>
      <c r="H80" s="2">
        <v>6.04</v>
      </c>
      <c r="I80" s="2">
        <v>4.7</v>
      </c>
      <c r="J80" s="2">
        <v>19.47</v>
      </c>
      <c r="K80" s="2">
        <v>0.39</v>
      </c>
      <c r="L80" s="2">
        <v>0</v>
      </c>
      <c r="M80" s="2">
        <v>0</v>
      </c>
      <c r="N80" s="2">
        <v>19444.1</v>
      </c>
      <c r="O80" s="2">
        <v>20245.16</v>
      </c>
      <c r="P80" s="2">
        <v>2000</v>
      </c>
      <c r="Q80" s="2" t="str">
        <f t="shared" ref="Q80:Q86" si="37">"E021635187"</f>
        <v>E021635187</v>
      </c>
      <c r="R80" s="2" t="str">
        <f t="shared" si="30"/>
        <v>人民币</v>
      </c>
      <c r="S80" s="2" t="str">
        <f t="shared" ref="S80:S82" si="38">"1361000383"</f>
        <v>1361000383</v>
      </c>
    </row>
    <row r="81" spans="1:19">
      <c r="A81" s="2" t="str">
        <f t="shared" si="36"/>
        <v>20160303</v>
      </c>
      <c r="D81" s="2" t="str">
        <f>"偿还融资负债本金"</f>
        <v>偿还融资负债本金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-3107.63</v>
      </c>
      <c r="O81" s="2">
        <v>17137.53</v>
      </c>
      <c r="P81" s="2">
        <v>0</v>
      </c>
      <c r="R81" s="2" t="str">
        <f t="shared" si="30"/>
        <v>人民币</v>
      </c>
      <c r="S81" s="2" t="str">
        <f t="shared" si="38"/>
        <v>1361000383</v>
      </c>
    </row>
    <row r="82" spans="1:19">
      <c r="A82" s="2" t="str">
        <f t="shared" si="36"/>
        <v>20160303</v>
      </c>
      <c r="D82" s="2" t="str">
        <f>"偿还融资负债本金"</f>
        <v>偿还融资负债本金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-16284.1</v>
      </c>
      <c r="O82" s="2">
        <v>853.43</v>
      </c>
      <c r="P82" s="2">
        <v>0</v>
      </c>
      <c r="R82" s="2" t="str">
        <f t="shared" si="30"/>
        <v>人民币</v>
      </c>
      <c r="S82" s="2" t="str">
        <f t="shared" si="38"/>
        <v>1361000383</v>
      </c>
    </row>
    <row r="83" spans="1:18">
      <c r="A83" s="2" t="str">
        <f t="shared" si="36"/>
        <v>20160303</v>
      </c>
      <c r="D83" s="2" t="str">
        <f>"偿还融资利息"</f>
        <v>偿还融资利息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-10.36</v>
      </c>
      <c r="O83" s="2">
        <v>843.07</v>
      </c>
      <c r="P83" s="2">
        <v>0</v>
      </c>
      <c r="R83" s="2" t="str">
        <f t="shared" si="30"/>
        <v>人民币</v>
      </c>
    </row>
    <row r="84" spans="1:19">
      <c r="A84" s="2" t="str">
        <f t="shared" ref="A84:A93" si="39">"20160304"</f>
        <v>20160304</v>
      </c>
      <c r="B84" s="2" t="str">
        <f>"600886"</f>
        <v>600886</v>
      </c>
      <c r="C84" s="2" t="str">
        <f>"国投电力"</f>
        <v>国投电力</v>
      </c>
      <c r="D84" s="2" t="str">
        <f>"担保品卖出"</f>
        <v>担保品卖出</v>
      </c>
      <c r="E84" s="2">
        <v>6.51</v>
      </c>
      <c r="F84" s="2">
        <v>2000</v>
      </c>
      <c r="G84" s="2">
        <v>13020</v>
      </c>
      <c r="H84" s="2">
        <v>5</v>
      </c>
      <c r="I84" s="2">
        <v>4.11</v>
      </c>
      <c r="J84" s="2">
        <v>13.02</v>
      </c>
      <c r="K84" s="2">
        <v>0.26</v>
      </c>
      <c r="L84" s="2">
        <v>0</v>
      </c>
      <c r="M84" s="2">
        <v>0</v>
      </c>
      <c r="N84" s="2">
        <v>13001.72</v>
      </c>
      <c r="O84" s="2">
        <v>13844.79</v>
      </c>
      <c r="P84" s="2">
        <v>17000</v>
      </c>
      <c r="Q84" s="2" t="str">
        <f t="shared" si="37"/>
        <v>E021635187</v>
      </c>
      <c r="R84" s="2" t="str">
        <f t="shared" si="30"/>
        <v>人民币</v>
      </c>
      <c r="S84" s="2" t="str">
        <f t="shared" ref="S84:S89" si="40">"1361000162"</f>
        <v>1361000162</v>
      </c>
    </row>
    <row r="85" spans="1:19">
      <c r="A85" s="2" t="str">
        <f t="shared" si="39"/>
        <v>20160304</v>
      </c>
      <c r="B85" s="2" t="str">
        <f>"600066"</f>
        <v>600066</v>
      </c>
      <c r="C85" s="2" t="str">
        <f>"宇通客车"</f>
        <v>宇通客车</v>
      </c>
      <c r="D85" s="2" t="str">
        <f>"融资买入"</f>
        <v>融资买入</v>
      </c>
      <c r="E85" s="2">
        <v>19.54</v>
      </c>
      <c r="F85" s="2">
        <v>1000</v>
      </c>
      <c r="G85" s="2">
        <v>19540</v>
      </c>
      <c r="H85" s="2">
        <v>21.49</v>
      </c>
      <c r="I85" s="2">
        <v>20.15</v>
      </c>
      <c r="J85" s="2">
        <v>0</v>
      </c>
      <c r="K85" s="2">
        <v>0.39</v>
      </c>
      <c r="L85" s="2">
        <v>0</v>
      </c>
      <c r="M85" s="2">
        <v>0</v>
      </c>
      <c r="N85" s="2">
        <v>-19561.88</v>
      </c>
      <c r="O85" s="2">
        <v>-5717.09</v>
      </c>
      <c r="P85" s="2">
        <v>3000</v>
      </c>
      <c r="Q85" s="2" t="str">
        <f t="shared" si="37"/>
        <v>E021635187</v>
      </c>
      <c r="R85" s="2" t="str">
        <f t="shared" si="30"/>
        <v>人民币</v>
      </c>
      <c r="S85" s="2" t="str">
        <f>"1361000272"</f>
        <v>1361000272</v>
      </c>
    </row>
    <row r="86" spans="1:19">
      <c r="A86" s="2" t="str">
        <f t="shared" si="39"/>
        <v>20160304</v>
      </c>
      <c r="B86" s="2" t="str">
        <f>"600066"</f>
        <v>600066</v>
      </c>
      <c r="C86" s="2" t="str">
        <f>"宇通客车"</f>
        <v>宇通客车</v>
      </c>
      <c r="D86" s="2" t="str">
        <f>"担保品卖出"</f>
        <v>担保品卖出</v>
      </c>
      <c r="E86" s="2">
        <v>19.51</v>
      </c>
      <c r="F86" s="2">
        <v>1000</v>
      </c>
      <c r="G86" s="2">
        <v>19510</v>
      </c>
      <c r="H86" s="2">
        <v>6.05</v>
      </c>
      <c r="I86" s="2">
        <v>4.71</v>
      </c>
      <c r="J86" s="2">
        <v>19.51</v>
      </c>
      <c r="K86" s="2">
        <v>0.39</v>
      </c>
      <c r="L86" s="2">
        <v>0</v>
      </c>
      <c r="M86" s="2">
        <v>0</v>
      </c>
      <c r="N86" s="2">
        <v>19484.05</v>
      </c>
      <c r="O86" s="2">
        <v>13766.96</v>
      </c>
      <c r="P86" s="2">
        <v>2000</v>
      </c>
      <c r="Q86" s="2" t="str">
        <f t="shared" si="37"/>
        <v>E021635187</v>
      </c>
      <c r="R86" s="2" t="str">
        <f t="shared" si="30"/>
        <v>人民币</v>
      </c>
      <c r="S86" s="2" t="str">
        <f t="shared" ref="S86:S91" si="41">"1361000397"</f>
        <v>1361000397</v>
      </c>
    </row>
    <row r="87" spans="1:19">
      <c r="A87" s="2" t="str">
        <f t="shared" si="39"/>
        <v>20160304</v>
      </c>
      <c r="D87" s="2" t="str">
        <f>"融资借入"</f>
        <v>融资借入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19561.88</v>
      </c>
      <c r="O87" s="2">
        <v>33328.84</v>
      </c>
      <c r="P87" s="2">
        <v>0</v>
      </c>
      <c r="R87" s="2" t="str">
        <f t="shared" si="30"/>
        <v>人民币</v>
      </c>
      <c r="S87" s="2" t="str">
        <f>"1361000272"</f>
        <v>1361000272</v>
      </c>
    </row>
    <row r="88" spans="1:19">
      <c r="A88" s="2" t="str">
        <f t="shared" si="39"/>
        <v>20160304</v>
      </c>
      <c r="D88" s="2" t="str">
        <f t="shared" ref="D88:D91" si="42">"偿还融资负债本金"</f>
        <v>偿还融资负债本金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-3633.68</v>
      </c>
      <c r="O88" s="2">
        <v>29695.16</v>
      </c>
      <c r="P88" s="2">
        <v>0</v>
      </c>
      <c r="R88" s="2" t="str">
        <f t="shared" si="30"/>
        <v>人民币</v>
      </c>
      <c r="S88" s="2" t="str">
        <f t="shared" si="40"/>
        <v>1361000162</v>
      </c>
    </row>
    <row r="89" spans="1:19">
      <c r="A89" s="2" t="str">
        <f t="shared" si="39"/>
        <v>20160304</v>
      </c>
      <c r="D89" s="2" t="str">
        <f t="shared" si="42"/>
        <v>偿还融资负债本金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-9333.98</v>
      </c>
      <c r="O89" s="2">
        <v>20361.18</v>
      </c>
      <c r="P89" s="2">
        <v>0</v>
      </c>
      <c r="R89" s="2" t="str">
        <f t="shared" si="30"/>
        <v>人民币</v>
      </c>
      <c r="S89" s="2" t="str">
        <f t="shared" si="40"/>
        <v>1361000162</v>
      </c>
    </row>
    <row r="90" spans="1:19">
      <c r="A90" s="2" t="str">
        <f t="shared" si="39"/>
        <v>20160304</v>
      </c>
      <c r="D90" s="2" t="str">
        <f t="shared" si="42"/>
        <v>偿还融资负债本金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-2386.79</v>
      </c>
      <c r="O90" s="2">
        <v>17974.39</v>
      </c>
      <c r="P90" s="2">
        <v>0</v>
      </c>
      <c r="R90" s="2" t="str">
        <f t="shared" si="30"/>
        <v>人民币</v>
      </c>
      <c r="S90" s="2" t="str">
        <f t="shared" si="41"/>
        <v>1361000397</v>
      </c>
    </row>
    <row r="91" spans="1:19">
      <c r="A91" s="2" t="str">
        <f t="shared" si="39"/>
        <v>20160304</v>
      </c>
      <c r="D91" s="2" t="str">
        <f t="shared" si="42"/>
        <v>偿还融资负债本金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-17044.78</v>
      </c>
      <c r="O91" s="2">
        <v>929.61</v>
      </c>
      <c r="P91" s="2">
        <v>0</v>
      </c>
      <c r="R91" s="2" t="str">
        <f t="shared" si="30"/>
        <v>人民币</v>
      </c>
      <c r="S91" s="2" t="str">
        <f t="shared" si="41"/>
        <v>1361000397</v>
      </c>
    </row>
    <row r="92" spans="1:18">
      <c r="A92" s="2" t="str">
        <f t="shared" si="39"/>
        <v>20160304</v>
      </c>
      <c r="D92" s="2" t="str">
        <f>"偿还融资利息"</f>
        <v>偿还融资利息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-23.57</v>
      </c>
      <c r="O92" s="2">
        <v>906.04</v>
      </c>
      <c r="P92" s="2">
        <v>0</v>
      </c>
      <c r="R92" s="2" t="str">
        <f t="shared" si="30"/>
        <v>人民币</v>
      </c>
    </row>
    <row r="93" spans="1:18">
      <c r="A93" s="2" t="str">
        <f t="shared" si="39"/>
        <v>20160304</v>
      </c>
      <c r="D93" s="2" t="str">
        <f>"偿还融资利息"</f>
        <v>偿还融资利息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-9.21</v>
      </c>
      <c r="O93" s="2">
        <v>896.83</v>
      </c>
      <c r="P93" s="2">
        <v>0</v>
      </c>
      <c r="R93" s="2" t="str">
        <f t="shared" si="30"/>
        <v>人民币</v>
      </c>
    </row>
    <row r="94" spans="1:18">
      <c r="A94" s="2" t="str">
        <f>"20160321"</f>
        <v>20160321</v>
      </c>
      <c r="D94" s="2" t="str">
        <f>"利息归本"</f>
        <v>利息归本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7.7</v>
      </c>
      <c r="O94" s="2">
        <v>904.53</v>
      </c>
      <c r="P94" s="2">
        <v>0</v>
      </c>
      <c r="R94" s="2" t="str">
        <f t="shared" si="30"/>
        <v>人民币</v>
      </c>
    </row>
    <row r="95" spans="1:19">
      <c r="A95" s="2" t="str">
        <f>"20160325"</f>
        <v>20160325</v>
      </c>
      <c r="B95" s="2" t="str">
        <f>"000667"</f>
        <v>000667</v>
      </c>
      <c r="C95" s="2" t="str">
        <f>"美好集团"</f>
        <v>美好集团</v>
      </c>
      <c r="D95" s="2" t="str">
        <f>"融资买入"</f>
        <v>融资买入</v>
      </c>
      <c r="E95" s="2">
        <v>4.04</v>
      </c>
      <c r="F95" s="2">
        <v>3000</v>
      </c>
      <c r="G95" s="2">
        <v>12120</v>
      </c>
      <c r="H95" s="2">
        <v>13.33</v>
      </c>
      <c r="I95" s="2">
        <v>12.26</v>
      </c>
      <c r="J95" s="2">
        <v>0</v>
      </c>
      <c r="K95" s="2">
        <v>0</v>
      </c>
      <c r="L95" s="2">
        <v>0</v>
      </c>
      <c r="M95" s="2">
        <v>0</v>
      </c>
      <c r="N95" s="2">
        <v>-12133.33</v>
      </c>
      <c r="O95" s="2">
        <v>-11228.8</v>
      </c>
      <c r="P95" s="2">
        <v>10000</v>
      </c>
      <c r="Q95" s="2" t="str">
        <f>"0602175409"</f>
        <v>0602175409</v>
      </c>
      <c r="R95" s="2" t="str">
        <f t="shared" si="30"/>
        <v>人民币</v>
      </c>
      <c r="S95" s="2" t="str">
        <f>"T4000622"</f>
        <v>T4000622</v>
      </c>
    </row>
    <row r="96" spans="1:19">
      <c r="A96" s="2" t="str">
        <f>"20160325"</f>
        <v>20160325</v>
      </c>
      <c r="D96" s="2" t="str">
        <f>"融资借入"</f>
        <v>融资借入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12133.33</v>
      </c>
      <c r="O96" s="2">
        <v>904.53</v>
      </c>
      <c r="P96" s="2">
        <v>0</v>
      </c>
      <c r="R96" s="2" t="str">
        <f t="shared" si="30"/>
        <v>人民币</v>
      </c>
      <c r="S96" s="2" t="str">
        <f>"T4000622"</f>
        <v>T4000622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0"/>
  <sheetViews>
    <sheetView topLeftCell="A33" workbookViewId="0">
      <selection activeCell="A2" sqref="A2:P50"/>
    </sheetView>
  </sheetViews>
  <sheetFormatPr defaultColWidth="9" defaultRowHeight="13.5"/>
  <cols>
    <col min="1" max="16" width="9" style="2"/>
    <col min="17" max="17" width="16.875" style="2" customWidth="1"/>
    <col min="18" max="16384" width="9" style="2"/>
  </cols>
  <sheetData>
    <row r="1" spans="1:19">
      <c r="A1" s="2" t="str">
        <f>"交割日期"</f>
        <v>交割日期</v>
      </c>
      <c r="B1" s="2" t="str">
        <f>"证券代码"</f>
        <v>证券代码</v>
      </c>
      <c r="C1" s="2" t="str">
        <f>"证券名称"</f>
        <v>证券名称</v>
      </c>
      <c r="D1" s="2" t="str">
        <f>"业务名称"</f>
        <v>业务名称</v>
      </c>
      <c r="E1" s="2" t="str">
        <f>"成交价格"</f>
        <v>成交价格</v>
      </c>
      <c r="F1" s="2" t="str">
        <f>"成交数量"</f>
        <v>成交数量</v>
      </c>
      <c r="G1" s="2" t="str">
        <f>"成交金额"</f>
        <v>成交金额</v>
      </c>
      <c r="H1" s="2" t="str">
        <f>"手续费"</f>
        <v>手续费</v>
      </c>
      <c r="I1" s="2" t="str">
        <f>"净佣金"</f>
        <v>净佣金</v>
      </c>
      <c r="J1" s="2" t="str">
        <f>"印花税"</f>
        <v>印花税</v>
      </c>
      <c r="K1" s="2" t="str">
        <f>"过户费"</f>
        <v>过户费</v>
      </c>
      <c r="L1" s="2" t="str">
        <f>"结算费"</f>
        <v>结算费</v>
      </c>
      <c r="M1" s="2" t="str">
        <f>"其他费"</f>
        <v>其他费</v>
      </c>
      <c r="N1" s="2" t="str">
        <f>"发生金额"</f>
        <v>发生金额</v>
      </c>
      <c r="O1" s="2" t="str">
        <f>"剩余金额"</f>
        <v>剩余金额</v>
      </c>
      <c r="P1" s="2" t="str">
        <f>"证券数量"</f>
        <v>证券数量</v>
      </c>
      <c r="Q1" s="2" t="str">
        <f>"股东代码"</f>
        <v>股东代码</v>
      </c>
      <c r="R1" s="2" t="str">
        <f>"币种"</f>
        <v>币种</v>
      </c>
      <c r="S1" s="2" t="str">
        <f>"成交编号"</f>
        <v>成交编号</v>
      </c>
    </row>
    <row r="2" spans="1:18">
      <c r="A2" s="2" t="str">
        <f>"20160401"</f>
        <v>20160401</v>
      </c>
      <c r="B2" s="2" t="str">
        <f>"000667"</f>
        <v>000667</v>
      </c>
      <c r="C2" s="2" t="str">
        <f>"美好集团"</f>
        <v>美好集团</v>
      </c>
      <c r="D2" s="2" t="str">
        <f>"红利入账"</f>
        <v>红利入账</v>
      </c>
      <c r="E2" s="2">
        <v>0</v>
      </c>
      <c r="F2" s="2">
        <v>0</v>
      </c>
      <c r="G2" s="2">
        <v>250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250</v>
      </c>
      <c r="O2" s="2">
        <v>1154.53</v>
      </c>
      <c r="P2" s="2">
        <v>0</v>
      </c>
      <c r="Q2" s="2" t="str">
        <f>"0602175409"</f>
        <v>0602175409</v>
      </c>
      <c r="R2" s="2" t="str">
        <f t="shared" ref="R2:R50" si="0">"人民币"</f>
        <v>人民币</v>
      </c>
    </row>
    <row r="3" spans="1:19">
      <c r="A3" s="2" t="str">
        <f>"20160413"</f>
        <v>20160413</v>
      </c>
      <c r="B3" s="2" t="str">
        <f>"600886"</f>
        <v>600886</v>
      </c>
      <c r="C3" s="2" t="str">
        <f>"国投电力"</f>
        <v>国投电力</v>
      </c>
      <c r="D3" s="2" t="str">
        <f>"融资买入"</f>
        <v>融资买入</v>
      </c>
      <c r="E3" s="2">
        <v>6.84</v>
      </c>
      <c r="F3" s="2">
        <v>2000</v>
      </c>
      <c r="G3" s="2">
        <v>13680</v>
      </c>
      <c r="H3" s="2">
        <v>15.05</v>
      </c>
      <c r="I3" s="2">
        <v>14.12</v>
      </c>
      <c r="J3" s="2">
        <v>0</v>
      </c>
      <c r="K3" s="2">
        <v>0.27</v>
      </c>
      <c r="L3" s="2">
        <v>0</v>
      </c>
      <c r="M3" s="2">
        <v>0</v>
      </c>
      <c r="N3" s="2">
        <v>-13695.32</v>
      </c>
      <c r="O3" s="2">
        <v>-12540.79</v>
      </c>
      <c r="P3" s="2">
        <v>19000</v>
      </c>
      <c r="Q3" s="2" t="str">
        <f>"E021635187"</f>
        <v>E021635187</v>
      </c>
      <c r="R3" s="2" t="str">
        <f t="shared" si="0"/>
        <v>人民币</v>
      </c>
      <c r="S3" s="2" t="str">
        <f>"1361000254"</f>
        <v>1361000254</v>
      </c>
    </row>
    <row r="4" spans="1:19">
      <c r="A4" s="2" t="str">
        <f>"20160413"</f>
        <v>20160413</v>
      </c>
      <c r="D4" s="2" t="str">
        <f>"融资借入"</f>
        <v>融资借入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13695.32</v>
      </c>
      <c r="O4" s="2">
        <v>1154.53</v>
      </c>
      <c r="P4" s="2">
        <v>0</v>
      </c>
      <c r="R4" s="2" t="str">
        <f t="shared" si="0"/>
        <v>人民币</v>
      </c>
      <c r="S4" s="2" t="str">
        <f>"1361000254"</f>
        <v>1361000254</v>
      </c>
    </row>
    <row r="5" spans="1:19">
      <c r="A5" s="2" t="str">
        <f t="shared" ref="A5:A7" si="1">"20160415"</f>
        <v>20160415</v>
      </c>
      <c r="B5" s="2" t="str">
        <f>"000667"</f>
        <v>000667</v>
      </c>
      <c r="C5" s="2" t="str">
        <f>"美好集团"</f>
        <v>美好集团</v>
      </c>
      <c r="D5" s="2" t="str">
        <f>"担保品卖出"</f>
        <v>担保品卖出</v>
      </c>
      <c r="E5" s="2">
        <v>4.12</v>
      </c>
      <c r="F5" s="2">
        <v>3000</v>
      </c>
      <c r="G5" s="2">
        <v>12360</v>
      </c>
      <c r="H5" s="2">
        <v>5</v>
      </c>
      <c r="I5" s="2">
        <v>3.9</v>
      </c>
      <c r="J5" s="2">
        <v>12.36</v>
      </c>
      <c r="K5" s="2">
        <v>0</v>
      </c>
      <c r="L5" s="2">
        <v>0</v>
      </c>
      <c r="M5" s="2">
        <v>0</v>
      </c>
      <c r="N5" s="2">
        <v>12342.64</v>
      </c>
      <c r="O5" s="2">
        <v>13497.17</v>
      </c>
      <c r="P5" s="2">
        <v>7000</v>
      </c>
      <c r="Q5" s="2" t="str">
        <f>"0602175409"</f>
        <v>0602175409</v>
      </c>
      <c r="R5" s="2" t="str">
        <f t="shared" si="0"/>
        <v>人民币</v>
      </c>
      <c r="S5" s="2" t="str">
        <f>"T4000656"</f>
        <v>T4000656</v>
      </c>
    </row>
    <row r="6" spans="1:19">
      <c r="A6" s="2" t="str">
        <f t="shared" si="1"/>
        <v>20160415</v>
      </c>
      <c r="D6" s="2" t="str">
        <f>"偿还融资负债本金"</f>
        <v>偿还融资负债本金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-12133.33</v>
      </c>
      <c r="O6" s="2">
        <v>1363.84</v>
      </c>
      <c r="P6" s="2">
        <v>0</v>
      </c>
      <c r="R6" s="2" t="str">
        <f t="shared" si="0"/>
        <v>人民币</v>
      </c>
      <c r="S6" s="2" t="str">
        <f>"T4000656"</f>
        <v>T4000656</v>
      </c>
    </row>
    <row r="7" spans="1:18">
      <c r="A7" s="2" t="str">
        <f t="shared" si="1"/>
        <v>20160415</v>
      </c>
      <c r="D7" s="2" t="str">
        <f>"偿还融资利息"</f>
        <v>偿还融资利息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-59.04</v>
      </c>
      <c r="O7" s="2">
        <v>1304.8</v>
      </c>
      <c r="P7" s="2">
        <v>0</v>
      </c>
      <c r="R7" s="2" t="str">
        <f t="shared" si="0"/>
        <v>人民币</v>
      </c>
    </row>
    <row r="8" spans="1:18">
      <c r="A8" s="2" t="str">
        <f>"20160418"</f>
        <v>20160418</v>
      </c>
      <c r="B8" s="2" t="str">
        <f>"000667"</f>
        <v>000667</v>
      </c>
      <c r="C8" s="2" t="str">
        <f>"美好集团"</f>
        <v>美好集团</v>
      </c>
      <c r="D8" s="2" t="str">
        <f>"股息红利差异扣税"</f>
        <v>股息红利差异扣税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-7.5</v>
      </c>
      <c r="O8" s="2">
        <v>1297.3</v>
      </c>
      <c r="P8" s="2">
        <v>0</v>
      </c>
      <c r="Q8" s="2" t="str">
        <f>"0602175409"</f>
        <v>0602175409</v>
      </c>
      <c r="R8" s="2" t="str">
        <f t="shared" si="0"/>
        <v>人民币</v>
      </c>
    </row>
    <row r="9" spans="1:19">
      <c r="A9" s="2" t="str">
        <f t="shared" ref="A9:A14" si="2">"20160420"</f>
        <v>20160420</v>
      </c>
      <c r="B9" s="2" t="str">
        <f>"600886"</f>
        <v>600886</v>
      </c>
      <c r="C9" s="2" t="str">
        <f>"国投电力"</f>
        <v>国投电力</v>
      </c>
      <c r="D9" s="2" t="str">
        <f>"融资买入"</f>
        <v>融资买入</v>
      </c>
      <c r="E9" s="2">
        <v>6.34</v>
      </c>
      <c r="F9" s="2">
        <v>2000</v>
      </c>
      <c r="G9" s="2">
        <v>12680</v>
      </c>
      <c r="H9" s="2">
        <v>13.95</v>
      </c>
      <c r="I9" s="2">
        <v>13.08</v>
      </c>
      <c r="J9" s="2">
        <v>0</v>
      </c>
      <c r="K9" s="2">
        <v>0.25</v>
      </c>
      <c r="L9" s="2">
        <v>0</v>
      </c>
      <c r="M9" s="2">
        <v>0</v>
      </c>
      <c r="N9" s="2">
        <v>-12694.2</v>
      </c>
      <c r="O9" s="2">
        <v>-11396.9</v>
      </c>
      <c r="P9" s="2">
        <v>21000</v>
      </c>
      <c r="Q9" s="2" t="str">
        <f>"E021635187"</f>
        <v>E021635187</v>
      </c>
      <c r="R9" s="2" t="str">
        <f t="shared" si="0"/>
        <v>人民币</v>
      </c>
      <c r="S9" s="2" t="str">
        <f>"1361000458"</f>
        <v>1361000458</v>
      </c>
    </row>
    <row r="10" spans="1:19">
      <c r="A10" s="2" t="str">
        <f t="shared" si="2"/>
        <v>20160420</v>
      </c>
      <c r="B10" s="2" t="str">
        <f>"600886"</f>
        <v>600886</v>
      </c>
      <c r="C10" s="2" t="str">
        <f>"国投电力"</f>
        <v>国投电力</v>
      </c>
      <c r="D10" s="2" t="str">
        <f>"担保品卖出"</f>
        <v>担保品卖出</v>
      </c>
      <c r="E10" s="2">
        <v>6.45</v>
      </c>
      <c r="F10" s="2">
        <v>2000</v>
      </c>
      <c r="G10" s="2">
        <v>12900</v>
      </c>
      <c r="H10" s="2">
        <v>5</v>
      </c>
      <c r="I10" s="2">
        <v>4.11</v>
      </c>
      <c r="J10" s="2">
        <v>12.9</v>
      </c>
      <c r="K10" s="2">
        <v>0.26</v>
      </c>
      <c r="L10" s="2">
        <v>0</v>
      </c>
      <c r="M10" s="2">
        <v>0</v>
      </c>
      <c r="N10" s="2">
        <v>12881.84</v>
      </c>
      <c r="O10" s="2">
        <v>1484.94</v>
      </c>
      <c r="P10" s="2">
        <v>19000</v>
      </c>
      <c r="Q10" s="2" t="str">
        <f>"E021635187"</f>
        <v>E021635187</v>
      </c>
      <c r="R10" s="2" t="str">
        <f t="shared" si="0"/>
        <v>人民币</v>
      </c>
      <c r="S10" s="2" t="str">
        <f t="shared" ref="S10:S13" si="3">"1361000688"</f>
        <v>1361000688</v>
      </c>
    </row>
    <row r="11" spans="1:19">
      <c r="A11" s="2" t="str">
        <f t="shared" si="2"/>
        <v>20160420</v>
      </c>
      <c r="D11" s="2" t="str">
        <f>"融资借入"</f>
        <v>融资借入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12694.2</v>
      </c>
      <c r="O11" s="2">
        <v>14179.14</v>
      </c>
      <c r="P11" s="2">
        <v>0</v>
      </c>
      <c r="R11" s="2" t="str">
        <f t="shared" si="0"/>
        <v>人民币</v>
      </c>
      <c r="S11" s="2" t="str">
        <f>"1361000458"</f>
        <v>1361000458</v>
      </c>
    </row>
    <row r="12" spans="1:19">
      <c r="A12" s="2" t="str">
        <f t="shared" si="2"/>
        <v>20160420</v>
      </c>
      <c r="D12" s="2" t="str">
        <f>"偿还融资负债本金"</f>
        <v>偿还融资负债本金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-7464.82</v>
      </c>
      <c r="O12" s="2">
        <v>6714.32</v>
      </c>
      <c r="P12" s="2">
        <v>0</v>
      </c>
      <c r="R12" s="2" t="str">
        <f t="shared" si="0"/>
        <v>人民币</v>
      </c>
      <c r="S12" s="2" t="str">
        <f t="shared" si="3"/>
        <v>1361000688</v>
      </c>
    </row>
    <row r="13" spans="1:19">
      <c r="A13" s="2" t="str">
        <f t="shared" si="2"/>
        <v>20160420</v>
      </c>
      <c r="D13" s="2" t="str">
        <f>"偿还融资负债本金"</f>
        <v>偿还融资负债本金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-5383.32</v>
      </c>
      <c r="O13" s="2">
        <v>1331</v>
      </c>
      <c r="P13" s="2">
        <v>0</v>
      </c>
      <c r="R13" s="2" t="str">
        <f t="shared" si="0"/>
        <v>人民币</v>
      </c>
      <c r="S13" s="2" t="str">
        <f t="shared" si="3"/>
        <v>1361000688</v>
      </c>
    </row>
    <row r="14" spans="1:18">
      <c r="A14" s="2" t="str">
        <f t="shared" si="2"/>
        <v>20160420</v>
      </c>
      <c r="D14" s="2" t="str">
        <f>"偿还融资利息"</f>
        <v>偿还融资利息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-338.61</v>
      </c>
      <c r="O14" s="2">
        <v>992.39</v>
      </c>
      <c r="P14" s="2">
        <v>0</v>
      </c>
      <c r="R14" s="2" t="str">
        <f t="shared" si="0"/>
        <v>人民币</v>
      </c>
    </row>
    <row r="15" spans="1:19">
      <c r="A15" s="2" t="str">
        <f>"20160503"</f>
        <v>20160503</v>
      </c>
      <c r="B15" s="2" t="str">
        <f>"601607"</f>
        <v>601607</v>
      </c>
      <c r="C15" s="2" t="str">
        <f>"上海医药"</f>
        <v>上海医药</v>
      </c>
      <c r="D15" s="2" t="str">
        <f t="shared" ref="D15:D19" si="4">"担保品卖出"</f>
        <v>担保品卖出</v>
      </c>
      <c r="E15" s="2">
        <v>18.65</v>
      </c>
      <c r="F15" s="2">
        <v>1000</v>
      </c>
      <c r="G15" s="2">
        <v>18650</v>
      </c>
      <c r="H15" s="2">
        <v>5.78</v>
      </c>
      <c r="I15" s="2">
        <v>4.5</v>
      </c>
      <c r="J15" s="2">
        <v>18.65</v>
      </c>
      <c r="K15" s="2">
        <v>0.37</v>
      </c>
      <c r="L15" s="2">
        <v>0</v>
      </c>
      <c r="M15" s="2">
        <v>0</v>
      </c>
      <c r="N15" s="2">
        <v>18625.2</v>
      </c>
      <c r="O15" s="2">
        <v>19617.59</v>
      </c>
      <c r="P15" s="2">
        <v>1000</v>
      </c>
      <c r="Q15" s="2" t="str">
        <f t="shared" ref="Q15:Q19" si="5">"E021635187"</f>
        <v>E021635187</v>
      </c>
      <c r="R15" s="2" t="str">
        <f t="shared" si="0"/>
        <v>人民币</v>
      </c>
      <c r="S15" s="2" t="str">
        <f>"1361000106"</f>
        <v>1361000106</v>
      </c>
    </row>
    <row r="16" spans="1:19">
      <c r="A16" s="2" t="str">
        <f>"20160509"</f>
        <v>20160509</v>
      </c>
      <c r="B16" s="2" t="str">
        <f t="shared" ref="B16:B19" si="6">"600219"</f>
        <v>600219</v>
      </c>
      <c r="C16" s="2" t="str">
        <f t="shared" ref="C16:C19" si="7">"南山铝业"</f>
        <v>南山铝业</v>
      </c>
      <c r="D16" s="2" t="str">
        <f>"担保品买入"</f>
        <v>担保品买入</v>
      </c>
      <c r="E16" s="2">
        <v>6.88</v>
      </c>
      <c r="F16" s="2">
        <v>1000</v>
      </c>
      <c r="G16" s="2">
        <v>6880</v>
      </c>
      <c r="H16" s="2">
        <v>5</v>
      </c>
      <c r="I16" s="2">
        <v>4.52</v>
      </c>
      <c r="J16" s="2">
        <v>0</v>
      </c>
      <c r="K16" s="2">
        <v>0.14</v>
      </c>
      <c r="L16" s="2">
        <v>0</v>
      </c>
      <c r="M16" s="2">
        <v>0</v>
      </c>
      <c r="N16" s="2">
        <v>-6885.14</v>
      </c>
      <c r="O16" s="2">
        <v>12732.45</v>
      </c>
      <c r="P16" s="2">
        <v>1000</v>
      </c>
      <c r="Q16" s="2" t="str">
        <f t="shared" si="5"/>
        <v>E021635187</v>
      </c>
      <c r="R16" s="2" t="str">
        <f t="shared" si="0"/>
        <v>人民币</v>
      </c>
      <c r="S16" s="2" t="str">
        <f>"1361000147"</f>
        <v>1361000147</v>
      </c>
    </row>
    <row r="17" spans="1:19">
      <c r="A17" s="2" t="str">
        <f>"20160509"</f>
        <v>20160509</v>
      </c>
      <c r="B17" s="2" t="str">
        <f t="shared" si="6"/>
        <v>600219</v>
      </c>
      <c r="C17" s="2" t="str">
        <f t="shared" si="7"/>
        <v>南山铝业</v>
      </c>
      <c r="D17" s="2" t="str">
        <f>"担保品买入"</f>
        <v>担保品买入</v>
      </c>
      <c r="E17" s="2">
        <v>6.69</v>
      </c>
      <c r="F17" s="2">
        <v>1000</v>
      </c>
      <c r="G17" s="2">
        <v>6690</v>
      </c>
      <c r="H17" s="2">
        <v>5</v>
      </c>
      <c r="I17" s="2">
        <v>4.54</v>
      </c>
      <c r="J17" s="2">
        <v>0</v>
      </c>
      <c r="K17" s="2">
        <v>0.13</v>
      </c>
      <c r="L17" s="2">
        <v>0</v>
      </c>
      <c r="M17" s="2">
        <v>0</v>
      </c>
      <c r="N17" s="2">
        <v>-6695.13</v>
      </c>
      <c r="O17" s="2">
        <v>6037.32</v>
      </c>
      <c r="P17" s="2">
        <v>2000</v>
      </c>
      <c r="Q17" s="2" t="str">
        <f t="shared" si="5"/>
        <v>E021635187</v>
      </c>
      <c r="R17" s="2" t="str">
        <f t="shared" si="0"/>
        <v>人民币</v>
      </c>
      <c r="S17" s="2" t="str">
        <f>"1361000343"</f>
        <v>1361000343</v>
      </c>
    </row>
    <row r="18" spans="1:19">
      <c r="A18" s="2" t="str">
        <f t="shared" ref="A18:A21" si="8">"20160511"</f>
        <v>20160511</v>
      </c>
      <c r="B18" s="2" t="str">
        <f>"601607"</f>
        <v>601607</v>
      </c>
      <c r="C18" s="2" t="str">
        <f>"上海医药"</f>
        <v>上海医药</v>
      </c>
      <c r="D18" s="2" t="str">
        <f t="shared" si="4"/>
        <v>担保品卖出</v>
      </c>
      <c r="E18" s="2">
        <v>18.72</v>
      </c>
      <c r="F18" s="2">
        <v>1000</v>
      </c>
      <c r="G18" s="2">
        <v>18720</v>
      </c>
      <c r="H18" s="2">
        <v>5.8</v>
      </c>
      <c r="I18" s="2">
        <v>4.52</v>
      </c>
      <c r="J18" s="2">
        <v>18.72</v>
      </c>
      <c r="K18" s="2">
        <v>0.37</v>
      </c>
      <c r="L18" s="2">
        <v>0</v>
      </c>
      <c r="M18" s="2">
        <v>0</v>
      </c>
      <c r="N18" s="2">
        <v>18695.11</v>
      </c>
      <c r="O18" s="2">
        <v>24732.43</v>
      </c>
      <c r="P18" s="2">
        <v>0</v>
      </c>
      <c r="Q18" s="2" t="str">
        <f t="shared" si="5"/>
        <v>E021635187</v>
      </c>
      <c r="R18" s="2" t="str">
        <f t="shared" si="0"/>
        <v>人民币</v>
      </c>
      <c r="S18" s="2" t="str">
        <f>"1361000082"</f>
        <v>1361000082</v>
      </c>
    </row>
    <row r="19" spans="1:19">
      <c r="A19" s="2" t="str">
        <f t="shared" si="8"/>
        <v>20160511</v>
      </c>
      <c r="B19" s="2" t="str">
        <f t="shared" si="6"/>
        <v>600219</v>
      </c>
      <c r="C19" s="2" t="str">
        <f t="shared" si="7"/>
        <v>南山铝业</v>
      </c>
      <c r="D19" s="2" t="str">
        <f t="shared" si="4"/>
        <v>担保品卖出</v>
      </c>
      <c r="E19" s="2">
        <v>6.84</v>
      </c>
      <c r="F19" s="2">
        <v>2000</v>
      </c>
      <c r="G19" s="2">
        <v>13680</v>
      </c>
      <c r="H19" s="2">
        <v>5</v>
      </c>
      <c r="I19" s="2">
        <v>4.06</v>
      </c>
      <c r="J19" s="2">
        <v>13.68</v>
      </c>
      <c r="K19" s="2">
        <v>0.27</v>
      </c>
      <c r="L19" s="2">
        <v>0</v>
      </c>
      <c r="M19" s="2">
        <v>0</v>
      </c>
      <c r="N19" s="2">
        <v>13661.05</v>
      </c>
      <c r="O19" s="2">
        <v>38393.48</v>
      </c>
      <c r="P19" s="2">
        <v>0</v>
      </c>
      <c r="Q19" s="2" t="str">
        <f t="shared" si="5"/>
        <v>E021635187</v>
      </c>
      <c r="R19" s="2" t="str">
        <f t="shared" si="0"/>
        <v>人民币</v>
      </c>
      <c r="S19" s="2" t="str">
        <f>"1361000090"</f>
        <v>1361000090</v>
      </c>
    </row>
    <row r="20" spans="1:19">
      <c r="A20" s="2" t="str">
        <f t="shared" si="8"/>
        <v>20160511</v>
      </c>
      <c r="D20" s="2" t="str">
        <f t="shared" ref="D20:D25" si="9">"偿还融资负债本金"</f>
        <v>偿还融资负债本金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-1281.64</v>
      </c>
      <c r="O20" s="2">
        <v>37111.84</v>
      </c>
      <c r="P20" s="2">
        <v>0</v>
      </c>
      <c r="R20" s="2" t="str">
        <f t="shared" si="0"/>
        <v>人民币</v>
      </c>
      <c r="S20" s="2" t="str">
        <f>"1361000090"</f>
        <v>1361000090</v>
      </c>
    </row>
    <row r="21" spans="1:18">
      <c r="A21" s="2" t="str">
        <f t="shared" si="8"/>
        <v>20160511</v>
      </c>
      <c r="D21" s="2" t="str">
        <f>"偿还融资利息"</f>
        <v>偿还融资利息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-39.64</v>
      </c>
      <c r="O21" s="2">
        <v>37072.2</v>
      </c>
      <c r="P21" s="2">
        <v>0</v>
      </c>
      <c r="R21" s="2" t="str">
        <f t="shared" si="0"/>
        <v>人民币</v>
      </c>
    </row>
    <row r="22" spans="1:19">
      <c r="A22" s="2" t="str">
        <f t="shared" ref="A22:A26" si="10">"20160512"</f>
        <v>20160512</v>
      </c>
      <c r="B22" s="2" t="str">
        <f>"600219"</f>
        <v>600219</v>
      </c>
      <c r="C22" s="2" t="str">
        <f>"南山铝业"</f>
        <v>南山铝业</v>
      </c>
      <c r="D22" s="2" t="str">
        <f>"担保品买入"</f>
        <v>担保品买入</v>
      </c>
      <c r="E22" s="2">
        <v>6.53</v>
      </c>
      <c r="F22" s="2">
        <v>2000</v>
      </c>
      <c r="G22" s="2">
        <v>13060</v>
      </c>
      <c r="H22" s="2">
        <v>5</v>
      </c>
      <c r="I22" s="2">
        <v>4.1</v>
      </c>
      <c r="J22" s="2">
        <v>0</v>
      </c>
      <c r="K22" s="2">
        <v>0.26</v>
      </c>
      <c r="L22" s="2">
        <v>0</v>
      </c>
      <c r="M22" s="2">
        <v>0</v>
      </c>
      <c r="N22" s="2">
        <v>-13065.26</v>
      </c>
      <c r="O22" s="2">
        <v>24006.94</v>
      </c>
      <c r="P22" s="2">
        <v>2000</v>
      </c>
      <c r="Q22" s="2" t="str">
        <f t="shared" ref="Q22:Q28" si="11">"E021635187"</f>
        <v>E021635187</v>
      </c>
      <c r="R22" s="2" t="str">
        <f t="shared" si="0"/>
        <v>人民币</v>
      </c>
      <c r="S22" s="2" t="str">
        <f>"1361000092"</f>
        <v>1361000092</v>
      </c>
    </row>
    <row r="23" spans="1:19">
      <c r="A23" s="2" t="str">
        <f t="shared" si="10"/>
        <v>20160512</v>
      </c>
      <c r="B23" s="2" t="str">
        <f>"600886"</f>
        <v>600886</v>
      </c>
      <c r="C23" s="2" t="str">
        <f>"国投电力"</f>
        <v>国投电力</v>
      </c>
      <c r="D23" s="2" t="str">
        <f>"担保品卖出"</f>
        <v>担保品卖出</v>
      </c>
      <c r="E23" s="2">
        <v>6.86</v>
      </c>
      <c r="F23" s="2">
        <v>2000</v>
      </c>
      <c r="G23" s="2">
        <v>13720</v>
      </c>
      <c r="H23" s="2">
        <v>5</v>
      </c>
      <c r="I23" s="2">
        <v>4.06</v>
      </c>
      <c r="J23" s="2">
        <v>13.72</v>
      </c>
      <c r="K23" s="2">
        <v>0.27</v>
      </c>
      <c r="L23" s="2">
        <v>0</v>
      </c>
      <c r="M23" s="2">
        <v>0</v>
      </c>
      <c r="N23" s="2">
        <v>13701.01</v>
      </c>
      <c r="O23" s="2">
        <v>37707.95</v>
      </c>
      <c r="P23" s="2">
        <v>17000</v>
      </c>
      <c r="Q23" s="2" t="str">
        <f t="shared" si="11"/>
        <v>E021635187</v>
      </c>
      <c r="R23" s="2" t="str">
        <f t="shared" si="0"/>
        <v>人民币</v>
      </c>
      <c r="S23" s="2" t="str">
        <f t="shared" ref="S23:S25" si="12">"1361000257"</f>
        <v>1361000257</v>
      </c>
    </row>
    <row r="24" spans="1:19">
      <c r="A24" s="2" t="str">
        <f t="shared" si="10"/>
        <v>20160512</v>
      </c>
      <c r="D24" s="2" t="str">
        <f t="shared" si="9"/>
        <v>偿还融资负债本金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-8822.57</v>
      </c>
      <c r="O24" s="2">
        <v>28885.38</v>
      </c>
      <c r="P24" s="2">
        <v>0</v>
      </c>
      <c r="R24" s="2" t="str">
        <f t="shared" si="0"/>
        <v>人民币</v>
      </c>
      <c r="S24" s="2" t="str">
        <f t="shared" si="12"/>
        <v>1361000257</v>
      </c>
    </row>
    <row r="25" spans="1:19">
      <c r="A25" s="2" t="str">
        <f t="shared" si="10"/>
        <v>20160512</v>
      </c>
      <c r="D25" s="2" t="str">
        <f t="shared" si="9"/>
        <v>偿还融资负债本金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-4842.28</v>
      </c>
      <c r="O25" s="2">
        <v>24043.1</v>
      </c>
      <c r="P25" s="2">
        <v>0</v>
      </c>
      <c r="R25" s="2" t="str">
        <f t="shared" si="0"/>
        <v>人民币</v>
      </c>
      <c r="S25" s="2" t="str">
        <f t="shared" si="12"/>
        <v>1361000257</v>
      </c>
    </row>
    <row r="26" spans="1:18">
      <c r="A26" s="2" t="str">
        <f t="shared" si="10"/>
        <v>20160512</v>
      </c>
      <c r="D26" s="2" t="str">
        <f>"偿还融资利息"</f>
        <v>偿还融资利息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-370.94</v>
      </c>
      <c r="O26" s="2">
        <v>23672.16</v>
      </c>
      <c r="P26" s="2">
        <v>0</v>
      </c>
      <c r="R26" s="2" t="str">
        <f t="shared" si="0"/>
        <v>人民币</v>
      </c>
    </row>
    <row r="27" spans="1:19">
      <c r="A27" s="2" t="str">
        <f>"20160513"</f>
        <v>20160513</v>
      </c>
      <c r="B27" s="2" t="str">
        <f>"600886"</f>
        <v>600886</v>
      </c>
      <c r="C27" s="2" t="str">
        <f>"国投电力"</f>
        <v>国投电力</v>
      </c>
      <c r="D27" s="2" t="str">
        <f t="shared" ref="D27:D30" si="13">"担保品买入"</f>
        <v>担保品买入</v>
      </c>
      <c r="E27" s="2">
        <v>6.66</v>
      </c>
      <c r="F27" s="2">
        <v>2000</v>
      </c>
      <c r="G27" s="2">
        <v>13320</v>
      </c>
      <c r="H27" s="2">
        <v>5</v>
      </c>
      <c r="I27" s="2">
        <v>4.08</v>
      </c>
      <c r="J27" s="2">
        <v>0</v>
      </c>
      <c r="K27" s="2">
        <v>0.27</v>
      </c>
      <c r="L27" s="2">
        <v>0</v>
      </c>
      <c r="M27" s="2">
        <v>0</v>
      </c>
      <c r="N27" s="2">
        <v>-13325.27</v>
      </c>
      <c r="O27" s="2">
        <v>10346.89</v>
      </c>
      <c r="P27" s="2">
        <v>19000</v>
      </c>
      <c r="Q27" s="2" t="str">
        <f t="shared" si="11"/>
        <v>E021635187</v>
      </c>
      <c r="R27" s="2" t="str">
        <f t="shared" si="0"/>
        <v>人民币</v>
      </c>
      <c r="S27" s="2" t="str">
        <f>"1361000174"</f>
        <v>1361000174</v>
      </c>
    </row>
    <row r="28" spans="1:19">
      <c r="A28" s="2" t="str">
        <f>"20160516"</f>
        <v>20160516</v>
      </c>
      <c r="B28" s="2" t="str">
        <f>"600219"</f>
        <v>600219</v>
      </c>
      <c r="C28" s="2" t="str">
        <f>"南山铝业"</f>
        <v>南山铝业</v>
      </c>
      <c r="D28" s="2" t="str">
        <f>"担保品卖出"</f>
        <v>担保品卖出</v>
      </c>
      <c r="E28" s="2">
        <v>6.89</v>
      </c>
      <c r="F28" s="2">
        <v>2000</v>
      </c>
      <c r="G28" s="2">
        <v>13780</v>
      </c>
      <c r="H28" s="2">
        <v>5</v>
      </c>
      <c r="I28" s="2">
        <v>4.05</v>
      </c>
      <c r="J28" s="2">
        <v>13.78</v>
      </c>
      <c r="K28" s="2">
        <v>0.28</v>
      </c>
      <c r="L28" s="2">
        <v>0</v>
      </c>
      <c r="M28" s="2">
        <v>0</v>
      </c>
      <c r="N28" s="2">
        <v>13760.94</v>
      </c>
      <c r="O28" s="2">
        <v>24107.83</v>
      </c>
      <c r="P28" s="2">
        <v>0</v>
      </c>
      <c r="Q28" s="2" t="str">
        <f t="shared" si="11"/>
        <v>E021635187</v>
      </c>
      <c r="R28" s="2" t="str">
        <f t="shared" si="0"/>
        <v>人民币</v>
      </c>
      <c r="S28" s="2" t="str">
        <f>"1361000025"</f>
        <v>1361000025</v>
      </c>
    </row>
    <row r="29" spans="1:19">
      <c r="A29" s="2" t="str">
        <f>"20160516"</f>
        <v>20160516</v>
      </c>
      <c r="B29" s="2" t="str">
        <f>"000667"</f>
        <v>000667</v>
      </c>
      <c r="C29" s="2" t="str">
        <f>"美好集团"</f>
        <v>美好集团</v>
      </c>
      <c r="D29" s="2" t="str">
        <f t="shared" si="13"/>
        <v>担保品买入</v>
      </c>
      <c r="E29" s="2">
        <v>3.65</v>
      </c>
      <c r="F29" s="2">
        <v>3000</v>
      </c>
      <c r="G29" s="2">
        <v>10950</v>
      </c>
      <c r="H29" s="2">
        <v>5</v>
      </c>
      <c r="I29" s="2">
        <v>4.03</v>
      </c>
      <c r="J29" s="2">
        <v>0</v>
      </c>
      <c r="K29" s="2">
        <v>0</v>
      </c>
      <c r="L29" s="2">
        <v>0</v>
      </c>
      <c r="M29" s="2">
        <v>0</v>
      </c>
      <c r="N29" s="2">
        <v>-10955</v>
      </c>
      <c r="O29" s="2">
        <v>13152.83</v>
      </c>
      <c r="P29" s="2">
        <v>10000</v>
      </c>
      <c r="Q29" s="2" t="str">
        <f>"0602175409"</f>
        <v>0602175409</v>
      </c>
      <c r="R29" s="2" t="str">
        <f t="shared" si="0"/>
        <v>人民币</v>
      </c>
      <c r="S29" s="2" t="str">
        <f>"T4000805"</f>
        <v>T4000805</v>
      </c>
    </row>
    <row r="30" spans="1:19">
      <c r="A30" s="2" t="str">
        <f>"20160519"</f>
        <v>20160519</v>
      </c>
      <c r="B30" s="2" t="str">
        <f>"600219"</f>
        <v>600219</v>
      </c>
      <c r="C30" s="2" t="str">
        <f>"南山铝业"</f>
        <v>南山铝业</v>
      </c>
      <c r="D30" s="2" t="str">
        <f t="shared" si="13"/>
        <v>担保品买入</v>
      </c>
      <c r="E30" s="2">
        <v>6.58</v>
      </c>
      <c r="F30" s="2">
        <v>1900</v>
      </c>
      <c r="G30" s="2">
        <v>12502</v>
      </c>
      <c r="H30" s="2">
        <v>5</v>
      </c>
      <c r="I30" s="2">
        <v>4.15</v>
      </c>
      <c r="J30" s="2">
        <v>0</v>
      </c>
      <c r="K30" s="2">
        <v>0.25</v>
      </c>
      <c r="L30" s="2">
        <v>0</v>
      </c>
      <c r="M30" s="2">
        <v>0</v>
      </c>
      <c r="N30" s="2">
        <v>-12507.25</v>
      </c>
      <c r="O30" s="2">
        <v>645.58</v>
      </c>
      <c r="P30" s="2">
        <v>1900</v>
      </c>
      <c r="Q30" s="2" t="str">
        <f t="shared" ref="Q30:Q32" si="14">"E021635187"</f>
        <v>E021635187</v>
      </c>
      <c r="R30" s="2" t="str">
        <f t="shared" si="0"/>
        <v>人民币</v>
      </c>
      <c r="S30" s="2" t="str">
        <f>"1361000099"</f>
        <v>1361000099</v>
      </c>
    </row>
    <row r="31" spans="1:18">
      <c r="A31" s="2" t="str">
        <f t="shared" ref="A31:A36" si="15">"20160520"</f>
        <v>20160520</v>
      </c>
      <c r="B31" s="2" t="str">
        <f>"600066"</f>
        <v>600066</v>
      </c>
      <c r="C31" s="2" t="str">
        <f>"宇通客车"</f>
        <v>宇通客车</v>
      </c>
      <c r="D31" s="2" t="str">
        <f>"红利入账"</f>
        <v>红利入账</v>
      </c>
      <c r="E31" s="2">
        <v>0</v>
      </c>
      <c r="F31" s="2">
        <v>1000</v>
      </c>
      <c r="G31" s="2">
        <v>1500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1500</v>
      </c>
      <c r="O31" s="2">
        <v>2145.58</v>
      </c>
      <c r="P31" s="2">
        <v>0</v>
      </c>
      <c r="Q31" s="2" t="str">
        <f t="shared" si="14"/>
        <v>E021635187</v>
      </c>
      <c r="R31" s="2" t="str">
        <f t="shared" si="0"/>
        <v>人民币</v>
      </c>
    </row>
    <row r="32" spans="1:19">
      <c r="A32" s="2" t="str">
        <f t="shared" si="15"/>
        <v>20160520</v>
      </c>
      <c r="B32" s="2" t="str">
        <f>"600066"</f>
        <v>600066</v>
      </c>
      <c r="C32" s="2" t="str">
        <f>"宇通客车"</f>
        <v>宇通客车</v>
      </c>
      <c r="D32" s="2" t="str">
        <f>"担保品卖出"</f>
        <v>担保品卖出</v>
      </c>
      <c r="E32" s="2">
        <v>21.6</v>
      </c>
      <c r="F32" s="2">
        <v>1000</v>
      </c>
      <c r="G32" s="2">
        <v>21600</v>
      </c>
      <c r="H32" s="2">
        <v>6.7</v>
      </c>
      <c r="I32" s="2">
        <v>5.22</v>
      </c>
      <c r="J32" s="2">
        <v>21.6</v>
      </c>
      <c r="K32" s="2">
        <v>0.43</v>
      </c>
      <c r="L32" s="2">
        <v>0</v>
      </c>
      <c r="M32" s="2">
        <v>0</v>
      </c>
      <c r="N32" s="2">
        <v>21571.27</v>
      </c>
      <c r="O32" s="2">
        <v>23716.85</v>
      </c>
      <c r="P32" s="2">
        <v>1000</v>
      </c>
      <c r="Q32" s="2" t="str">
        <f t="shared" si="14"/>
        <v>E021635187</v>
      </c>
      <c r="R32" s="2" t="str">
        <f t="shared" si="0"/>
        <v>人民币</v>
      </c>
      <c r="S32" s="2" t="str">
        <f t="shared" ref="S32:S34" si="16">"1361000029"</f>
        <v>1361000029</v>
      </c>
    </row>
    <row r="33" spans="1:19">
      <c r="A33" s="2" t="str">
        <f t="shared" si="15"/>
        <v>20160520</v>
      </c>
      <c r="D33" s="2" t="str">
        <f t="shared" ref="D33:D39" si="17">"偿还融资负债本金"</f>
        <v>偿还融资负债本金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-1345.8</v>
      </c>
      <c r="O33" s="2">
        <v>22371.05</v>
      </c>
      <c r="P33" s="2">
        <v>0</v>
      </c>
      <c r="R33" s="2" t="str">
        <f t="shared" si="0"/>
        <v>人民币</v>
      </c>
      <c r="S33" s="2" t="str">
        <f t="shared" si="16"/>
        <v>1361000029</v>
      </c>
    </row>
    <row r="34" spans="1:19">
      <c r="A34" s="2" t="str">
        <f t="shared" si="15"/>
        <v>20160520</v>
      </c>
      <c r="D34" s="2" t="str">
        <f t="shared" si="17"/>
        <v>偿还融资负债本金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-19561.88</v>
      </c>
      <c r="O34" s="2">
        <v>2809.17</v>
      </c>
      <c r="P34" s="2">
        <v>0</v>
      </c>
      <c r="R34" s="2" t="str">
        <f t="shared" si="0"/>
        <v>人民币</v>
      </c>
      <c r="S34" s="2" t="str">
        <f t="shared" si="16"/>
        <v>1361000029</v>
      </c>
    </row>
    <row r="35" spans="1:18">
      <c r="A35" s="2" t="str">
        <f t="shared" si="15"/>
        <v>20160520</v>
      </c>
      <c r="D35" s="2" t="str">
        <f t="shared" ref="D35:D40" si="18">"偿还融资利息"</f>
        <v>偿还融资利息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-36.7</v>
      </c>
      <c r="O35" s="2">
        <v>2772.47</v>
      </c>
      <c r="P35" s="2">
        <v>0</v>
      </c>
      <c r="R35" s="2" t="str">
        <f t="shared" si="0"/>
        <v>人民币</v>
      </c>
    </row>
    <row r="36" spans="1:18">
      <c r="A36" s="2" t="str">
        <f t="shared" si="15"/>
        <v>20160520</v>
      </c>
      <c r="D36" s="2" t="str">
        <f t="shared" si="18"/>
        <v>偿还融资利息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-349.47</v>
      </c>
      <c r="O36" s="2">
        <v>2423</v>
      </c>
      <c r="P36" s="2">
        <v>0</v>
      </c>
      <c r="R36" s="2" t="str">
        <f t="shared" si="0"/>
        <v>人民币</v>
      </c>
    </row>
    <row r="37" spans="1:19">
      <c r="A37" s="2" t="str">
        <f t="shared" ref="A37:A40" si="19">"20160523"</f>
        <v>20160523</v>
      </c>
      <c r="B37" s="2" t="str">
        <f>"600219"</f>
        <v>600219</v>
      </c>
      <c r="C37" s="2" t="str">
        <f>"南山铝业"</f>
        <v>南山铝业</v>
      </c>
      <c r="D37" s="2" t="str">
        <f>"担保品卖出"</f>
        <v>担保品卖出</v>
      </c>
      <c r="E37" s="2">
        <v>6.84</v>
      </c>
      <c r="F37" s="2">
        <v>1900</v>
      </c>
      <c r="G37" s="2">
        <v>12996</v>
      </c>
      <c r="H37" s="2">
        <v>5</v>
      </c>
      <c r="I37" s="2">
        <v>4.11</v>
      </c>
      <c r="J37" s="2">
        <v>13</v>
      </c>
      <c r="K37" s="2">
        <v>0.26</v>
      </c>
      <c r="L37" s="2">
        <v>0</v>
      </c>
      <c r="M37" s="2">
        <v>0</v>
      </c>
      <c r="N37" s="2">
        <v>12977.74</v>
      </c>
      <c r="O37" s="2">
        <v>15400.74</v>
      </c>
      <c r="P37" s="2">
        <v>0</v>
      </c>
      <c r="Q37" s="2" t="str">
        <f>"E021635187"</f>
        <v>E021635187</v>
      </c>
      <c r="R37" s="2" t="str">
        <f t="shared" si="0"/>
        <v>人民币</v>
      </c>
      <c r="S37" s="2" t="str">
        <f>"1361000149"</f>
        <v>1361000149</v>
      </c>
    </row>
    <row r="38" spans="1:18">
      <c r="A38" s="2" t="str">
        <f t="shared" si="19"/>
        <v>20160523</v>
      </c>
      <c r="D38" s="2" t="str">
        <f t="shared" si="17"/>
        <v>偿还融资负债本金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-885.25</v>
      </c>
      <c r="O38" s="2">
        <v>14400.74</v>
      </c>
      <c r="P38" s="2">
        <v>0</v>
      </c>
      <c r="R38" s="2" t="str">
        <f t="shared" si="0"/>
        <v>人民币</v>
      </c>
    </row>
    <row r="39" spans="1:18">
      <c r="A39" s="2" t="str">
        <f t="shared" si="19"/>
        <v>20160523</v>
      </c>
      <c r="D39" s="2" t="str">
        <f t="shared" si="17"/>
        <v>偿还融资负债本金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-500</v>
      </c>
      <c r="O39" s="2">
        <v>13900.74</v>
      </c>
      <c r="P39" s="2">
        <v>0</v>
      </c>
      <c r="R39" s="2" t="str">
        <f t="shared" si="0"/>
        <v>人民币</v>
      </c>
    </row>
    <row r="40" spans="1:18">
      <c r="A40" s="2" t="str">
        <f t="shared" si="19"/>
        <v>20160523</v>
      </c>
      <c r="D40" s="2" t="str">
        <f t="shared" si="18"/>
        <v>偿还融资利息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-114.75</v>
      </c>
      <c r="O40" s="2">
        <v>15285.99</v>
      </c>
      <c r="P40" s="2">
        <v>0</v>
      </c>
      <c r="R40" s="2" t="str">
        <f t="shared" si="0"/>
        <v>人民币</v>
      </c>
    </row>
    <row r="41" spans="1:18">
      <c r="A41" s="2" t="str">
        <f>"20160620"</f>
        <v>20160620</v>
      </c>
      <c r="D41" s="2" t="str">
        <f>"利息归本"</f>
        <v>利息归本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6.56</v>
      </c>
      <c r="O41" s="2">
        <v>13907.3</v>
      </c>
      <c r="P41" s="2">
        <v>0</v>
      </c>
      <c r="R41" s="2" t="str">
        <f t="shared" si="0"/>
        <v>人民币</v>
      </c>
    </row>
    <row r="42" spans="1:19">
      <c r="A42" s="2" t="str">
        <f>"20160624"</f>
        <v>20160624</v>
      </c>
      <c r="B42" s="2" t="str">
        <f>"600886"</f>
        <v>600886</v>
      </c>
      <c r="C42" s="2" t="str">
        <f>"国投电力"</f>
        <v>国投电力</v>
      </c>
      <c r="D42" s="2" t="str">
        <f>"担保品买入"</f>
        <v>担保品买入</v>
      </c>
      <c r="E42" s="2">
        <v>6.48</v>
      </c>
      <c r="F42" s="2">
        <v>2000</v>
      </c>
      <c r="G42" s="2">
        <v>12960</v>
      </c>
      <c r="H42" s="2">
        <v>5</v>
      </c>
      <c r="I42" s="2">
        <v>4.11</v>
      </c>
      <c r="J42" s="2">
        <v>0</v>
      </c>
      <c r="K42" s="2">
        <v>0.26</v>
      </c>
      <c r="L42" s="2">
        <v>0</v>
      </c>
      <c r="M42" s="2">
        <v>0</v>
      </c>
      <c r="N42" s="2">
        <v>-12965.26</v>
      </c>
      <c r="O42" s="2">
        <v>942.04</v>
      </c>
      <c r="P42" s="2">
        <v>21000</v>
      </c>
      <c r="Q42" s="2" t="str">
        <f t="shared" ref="Q42:Q45" si="20">"E021635187"</f>
        <v>E021635187</v>
      </c>
      <c r="R42" s="2" t="str">
        <f t="shared" si="0"/>
        <v>人民币</v>
      </c>
      <c r="S42" s="2" t="str">
        <f>"1361000305"</f>
        <v>1361000305</v>
      </c>
    </row>
    <row r="43" spans="1:19">
      <c r="A43" s="2" t="str">
        <f>"20160628"</f>
        <v>20160628</v>
      </c>
      <c r="B43" s="2" t="str">
        <f>"600219"</f>
        <v>600219</v>
      </c>
      <c r="C43" s="2" t="str">
        <f>"南山铝业"</f>
        <v>南山铝业</v>
      </c>
      <c r="D43" s="2" t="str">
        <f>"融资买入"</f>
        <v>融资买入</v>
      </c>
      <c r="E43" s="2">
        <v>7.07</v>
      </c>
      <c r="F43" s="2">
        <v>1000</v>
      </c>
      <c r="G43" s="2">
        <v>7070</v>
      </c>
      <c r="H43" s="2">
        <v>7.78</v>
      </c>
      <c r="I43" s="2">
        <v>7.3</v>
      </c>
      <c r="J43" s="2">
        <v>0</v>
      </c>
      <c r="K43" s="2">
        <v>0.14</v>
      </c>
      <c r="L43" s="2">
        <v>0</v>
      </c>
      <c r="M43" s="2">
        <v>0</v>
      </c>
      <c r="N43" s="2">
        <v>-7077.92</v>
      </c>
      <c r="O43" s="2">
        <v>-6135.88</v>
      </c>
      <c r="P43" s="2">
        <v>1000</v>
      </c>
      <c r="Q43" s="2" t="str">
        <f t="shared" si="20"/>
        <v>E021635187</v>
      </c>
      <c r="R43" s="2" t="str">
        <f t="shared" si="0"/>
        <v>人民币</v>
      </c>
      <c r="S43" s="2" t="str">
        <f>"1361000047"</f>
        <v>1361000047</v>
      </c>
    </row>
    <row r="44" spans="1:19">
      <c r="A44" s="2" t="str">
        <f>"20160628"</f>
        <v>20160628</v>
      </c>
      <c r="D44" s="2" t="str">
        <f>"融资借入"</f>
        <v>融资借入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7077.92</v>
      </c>
      <c r="O44" s="2">
        <v>942.04</v>
      </c>
      <c r="P44" s="2">
        <v>0</v>
      </c>
      <c r="R44" s="2" t="str">
        <f t="shared" si="0"/>
        <v>人民币</v>
      </c>
      <c r="S44" s="2" t="str">
        <f>"1361000047"</f>
        <v>1361000047</v>
      </c>
    </row>
    <row r="45" spans="1:19">
      <c r="A45" s="2" t="str">
        <f t="shared" ref="A45:A47" si="21">"20160629"</f>
        <v>20160629</v>
      </c>
      <c r="B45" s="2" t="str">
        <f>"600219"</f>
        <v>600219</v>
      </c>
      <c r="C45" s="2" t="str">
        <f>"南山铝业"</f>
        <v>南山铝业</v>
      </c>
      <c r="D45" s="2" t="str">
        <f>"担保品卖出"</f>
        <v>担保品卖出</v>
      </c>
      <c r="E45" s="2">
        <v>7.33</v>
      </c>
      <c r="F45" s="2">
        <v>1000</v>
      </c>
      <c r="G45" s="2">
        <v>7330</v>
      </c>
      <c r="H45" s="2">
        <v>5</v>
      </c>
      <c r="I45" s="2">
        <v>4.49</v>
      </c>
      <c r="J45" s="2">
        <v>7.33</v>
      </c>
      <c r="K45" s="2">
        <v>0.15</v>
      </c>
      <c r="L45" s="2">
        <v>0</v>
      </c>
      <c r="M45" s="2">
        <v>0</v>
      </c>
      <c r="N45" s="2">
        <v>7317.52</v>
      </c>
      <c r="O45" s="2">
        <v>8259.56</v>
      </c>
      <c r="P45" s="2">
        <v>0</v>
      </c>
      <c r="Q45" s="2" t="str">
        <f t="shared" si="20"/>
        <v>E021635187</v>
      </c>
      <c r="R45" s="2" t="str">
        <f t="shared" si="0"/>
        <v>人民币</v>
      </c>
      <c r="S45" s="2" t="str">
        <f>"1361000270"</f>
        <v>1361000270</v>
      </c>
    </row>
    <row r="46" spans="1:19">
      <c r="A46" s="2" t="str">
        <f t="shared" si="21"/>
        <v>20160629</v>
      </c>
      <c r="D46" s="2" t="str">
        <f t="shared" ref="D46:D49" si="22">"偿还融资负债本金"</f>
        <v>偿还融资负债本金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-7077.92</v>
      </c>
      <c r="O46" s="2">
        <v>1181.64</v>
      </c>
      <c r="P46" s="2">
        <v>0</v>
      </c>
      <c r="R46" s="2" t="str">
        <f t="shared" si="0"/>
        <v>人民币</v>
      </c>
      <c r="S46" s="2" t="str">
        <f>"1361000270"</f>
        <v>1361000270</v>
      </c>
    </row>
    <row r="47" spans="1:18">
      <c r="A47" s="2" t="str">
        <f t="shared" si="21"/>
        <v>20160629</v>
      </c>
      <c r="D47" s="2" t="str">
        <f>"偿还融资利息"</f>
        <v>偿还融资利息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-1.64</v>
      </c>
      <c r="O47" s="2">
        <v>1180</v>
      </c>
      <c r="P47" s="2">
        <v>0</v>
      </c>
      <c r="R47" s="2" t="str">
        <f t="shared" si="0"/>
        <v>人民币</v>
      </c>
    </row>
    <row r="48" spans="1:18">
      <c r="A48" s="2" t="str">
        <f t="shared" ref="A48:A50" si="23">"20160630"</f>
        <v>20160630</v>
      </c>
      <c r="D48" s="2" t="str">
        <f t="shared" si="22"/>
        <v>偿还融资负债本金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-934.25</v>
      </c>
      <c r="O48" s="2">
        <v>180</v>
      </c>
      <c r="P48" s="2">
        <v>0</v>
      </c>
      <c r="R48" s="2" t="str">
        <f t="shared" si="0"/>
        <v>人民币</v>
      </c>
    </row>
    <row r="49" spans="1:18">
      <c r="A49" s="2" t="str">
        <f t="shared" si="23"/>
        <v>20160630</v>
      </c>
      <c r="D49" s="2" t="str">
        <f t="shared" si="22"/>
        <v>偿还融资负债本金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-180</v>
      </c>
      <c r="O49" s="2">
        <v>0</v>
      </c>
      <c r="P49" s="2">
        <v>0</v>
      </c>
      <c r="R49" s="2" t="str">
        <f t="shared" si="0"/>
        <v>人民币</v>
      </c>
    </row>
    <row r="50" spans="1:18">
      <c r="A50" s="2" t="str">
        <f t="shared" si="23"/>
        <v>20160630</v>
      </c>
      <c r="D50" s="2" t="str">
        <f>"偿还融资利息"</f>
        <v>偿还融资利息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-65.75</v>
      </c>
      <c r="O50" s="2">
        <v>1114.25</v>
      </c>
      <c r="P50" s="2">
        <v>0</v>
      </c>
      <c r="R50" s="2" t="str">
        <f t="shared" si="0"/>
        <v>人民币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5"/>
  <sheetViews>
    <sheetView topLeftCell="A29" workbookViewId="0">
      <selection activeCell="A2" sqref="A2:P45"/>
    </sheetView>
  </sheetViews>
  <sheetFormatPr defaultColWidth="9" defaultRowHeight="13.5"/>
  <cols>
    <col min="1" max="16384" width="9" style="1"/>
  </cols>
  <sheetData>
    <row r="1" spans="1:19">
      <c r="A1" s="1" t="str">
        <f>"交割日期"</f>
        <v>交割日期</v>
      </c>
      <c r="B1" s="1" t="str">
        <f>"证券代码"</f>
        <v>证券代码</v>
      </c>
      <c r="C1" s="1" t="str">
        <f>"证券名称"</f>
        <v>证券名称</v>
      </c>
      <c r="D1" s="1" t="str">
        <f>"业务名称"</f>
        <v>业务名称</v>
      </c>
      <c r="E1" s="1" t="str">
        <f>"成交价格"</f>
        <v>成交价格</v>
      </c>
      <c r="F1" s="1" t="str">
        <f>"成交数量"</f>
        <v>成交数量</v>
      </c>
      <c r="G1" s="1" t="str">
        <f>"成交金额"</f>
        <v>成交金额</v>
      </c>
      <c r="H1" s="1" t="str">
        <f>"手续费"</f>
        <v>手续费</v>
      </c>
      <c r="I1" s="1" t="str">
        <f>"净佣金"</f>
        <v>净佣金</v>
      </c>
      <c r="J1" s="1" t="str">
        <f>"印花税"</f>
        <v>印花税</v>
      </c>
      <c r="K1" s="1" t="str">
        <f>"过户费"</f>
        <v>过户费</v>
      </c>
      <c r="L1" s="1" t="str">
        <f>"结算费"</f>
        <v>结算费</v>
      </c>
      <c r="M1" s="1" t="str">
        <f>"其他费"</f>
        <v>其他费</v>
      </c>
      <c r="N1" s="1" t="str">
        <f>"发生金额"</f>
        <v>发生金额</v>
      </c>
      <c r="O1" s="1" t="str">
        <f>"剩余金额"</f>
        <v>剩余金额</v>
      </c>
      <c r="P1" s="1" t="str">
        <f>"证券数量"</f>
        <v>证券数量</v>
      </c>
      <c r="Q1" s="1" t="str">
        <f>"股东代码"</f>
        <v>股东代码</v>
      </c>
      <c r="R1" s="1" t="str">
        <f>"币种"</f>
        <v>币种</v>
      </c>
      <c r="S1" s="1" t="str">
        <f>"成交编号"</f>
        <v>成交编号</v>
      </c>
    </row>
    <row r="2" spans="1:18">
      <c r="A2" s="1" t="str">
        <f>"20160704"</f>
        <v>20160704</v>
      </c>
      <c r="B2" s="1" t="str">
        <f>"600886"</f>
        <v>600886</v>
      </c>
      <c r="C2" s="1" t="str">
        <f>"国投电力"</f>
        <v>国投电力</v>
      </c>
      <c r="D2" s="1" t="str">
        <f>"红利入账"</f>
        <v>红利入账</v>
      </c>
      <c r="E2" s="1">
        <v>0</v>
      </c>
      <c r="F2" s="1">
        <v>21000</v>
      </c>
      <c r="G2" s="1">
        <v>5878.53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5878.53</v>
      </c>
      <c r="O2" s="1">
        <v>5878.53</v>
      </c>
      <c r="P2" s="1">
        <v>0</v>
      </c>
      <c r="Q2" s="1" t="str">
        <f t="shared" ref="Q2:Q7" si="0">"E021635187"</f>
        <v>E021635187</v>
      </c>
      <c r="R2" s="1" t="str">
        <f t="shared" ref="R2:R45" si="1">"人民币"</f>
        <v>人民币</v>
      </c>
    </row>
    <row r="3" spans="1:18">
      <c r="A3" s="1" t="str">
        <f>"20160705"</f>
        <v>20160705</v>
      </c>
      <c r="D3" s="1" t="str">
        <f>"偿还融资负债本金"</f>
        <v>偿还融资负债本金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-5871.17</v>
      </c>
      <c r="O3" s="1">
        <v>0</v>
      </c>
      <c r="P3" s="1">
        <v>0</v>
      </c>
      <c r="R3" s="1" t="str">
        <f t="shared" si="1"/>
        <v>人民币</v>
      </c>
    </row>
    <row r="4" spans="1:18">
      <c r="A4" s="1" t="str">
        <f>"20160705"</f>
        <v>20160705</v>
      </c>
      <c r="D4" s="1" t="str">
        <f>"偿还融资利息"</f>
        <v>偿还融资利息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-7.36</v>
      </c>
      <c r="O4" s="1">
        <v>5871.17</v>
      </c>
      <c r="P4" s="1">
        <v>0</v>
      </c>
      <c r="R4" s="1" t="str">
        <f t="shared" si="1"/>
        <v>人民币</v>
      </c>
    </row>
    <row r="5" spans="1:19">
      <c r="A5" s="1" t="str">
        <f>"20160706"</f>
        <v>20160706</v>
      </c>
      <c r="B5" s="1" t="str">
        <f>"600066"</f>
        <v>600066</v>
      </c>
      <c r="C5" s="1" t="str">
        <f>"宇通客车"</f>
        <v>宇通客车</v>
      </c>
      <c r="D5" s="1" t="str">
        <f>"担保品卖出"</f>
        <v>担保品卖出</v>
      </c>
      <c r="E5" s="1">
        <v>20.34</v>
      </c>
      <c r="F5" s="1">
        <v>500</v>
      </c>
      <c r="G5" s="1">
        <v>10170</v>
      </c>
      <c r="H5" s="1">
        <v>5</v>
      </c>
      <c r="I5" s="1">
        <v>4.3</v>
      </c>
      <c r="J5" s="1">
        <v>10.17</v>
      </c>
      <c r="K5" s="1">
        <v>0.2</v>
      </c>
      <c r="L5" s="1">
        <v>0</v>
      </c>
      <c r="M5" s="1">
        <v>0</v>
      </c>
      <c r="N5" s="1">
        <v>10154.63</v>
      </c>
      <c r="O5" s="1">
        <v>10154.63</v>
      </c>
      <c r="P5" s="1">
        <v>500</v>
      </c>
      <c r="Q5" s="1" t="str">
        <f t="shared" si="0"/>
        <v>E021635187</v>
      </c>
      <c r="R5" s="1" t="str">
        <f t="shared" si="1"/>
        <v>人民币</v>
      </c>
      <c r="S5" s="1" t="str">
        <f>"1361000200"</f>
        <v>1361000200</v>
      </c>
    </row>
    <row r="6" spans="1:18">
      <c r="A6" s="1" t="str">
        <f>"20160707"</f>
        <v>20160707</v>
      </c>
      <c r="B6" s="1" t="str">
        <f>"600066"</f>
        <v>600066</v>
      </c>
      <c r="C6" s="1" t="str">
        <f>"宇通客车"</f>
        <v>宇通客车</v>
      </c>
      <c r="D6" s="1" t="str">
        <f>"股息红利差异扣税"</f>
        <v>股息红利差异扣税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-75</v>
      </c>
      <c r="O6" s="1">
        <v>10079.63</v>
      </c>
      <c r="P6" s="1">
        <v>0</v>
      </c>
      <c r="Q6" s="1" t="str">
        <f t="shared" si="0"/>
        <v>E021635187</v>
      </c>
      <c r="R6" s="1" t="str">
        <f t="shared" si="1"/>
        <v>人民币</v>
      </c>
    </row>
    <row r="7" spans="1:19">
      <c r="A7" s="1" t="str">
        <f>"20160720"</f>
        <v>20160720</v>
      </c>
      <c r="B7" s="1" t="str">
        <f t="shared" ref="B7:B10" si="2">"600575"</f>
        <v>600575</v>
      </c>
      <c r="C7" s="1" t="str">
        <f t="shared" ref="C7:C10" si="3">"皖江物流"</f>
        <v>皖江物流</v>
      </c>
      <c r="D7" s="1" t="str">
        <f t="shared" ref="D7:D10" si="4">"融资买入"</f>
        <v>融资买入</v>
      </c>
      <c r="E7" s="1">
        <v>4.43</v>
      </c>
      <c r="F7" s="1">
        <v>3000</v>
      </c>
      <c r="G7" s="1">
        <v>13290</v>
      </c>
      <c r="H7" s="1">
        <v>14.62</v>
      </c>
      <c r="I7" s="1">
        <v>13.7</v>
      </c>
      <c r="J7" s="1">
        <v>0</v>
      </c>
      <c r="K7" s="1">
        <v>0.27</v>
      </c>
      <c r="L7" s="1">
        <v>0</v>
      </c>
      <c r="M7" s="1">
        <v>0</v>
      </c>
      <c r="N7" s="1">
        <v>-13304.89</v>
      </c>
      <c r="O7" s="1">
        <v>-3225.26</v>
      </c>
      <c r="P7" s="1">
        <v>3000</v>
      </c>
      <c r="Q7" s="1" t="str">
        <f t="shared" si="0"/>
        <v>E021635187</v>
      </c>
      <c r="R7" s="1" t="str">
        <f t="shared" si="1"/>
        <v>人民币</v>
      </c>
      <c r="S7" s="1" t="str">
        <f>"1361000620"</f>
        <v>1361000620</v>
      </c>
    </row>
    <row r="8" spans="1:19">
      <c r="A8" s="1" t="str">
        <f>"20160720"</f>
        <v>20160720</v>
      </c>
      <c r="D8" s="1" t="str">
        <f t="shared" ref="D8:D12" si="5">"融资借入"</f>
        <v>融资借入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13304.89</v>
      </c>
      <c r="O8" s="1">
        <v>10079.63</v>
      </c>
      <c r="P8" s="1">
        <v>0</v>
      </c>
      <c r="R8" s="1" t="str">
        <f t="shared" si="1"/>
        <v>人民币</v>
      </c>
      <c r="S8" s="1" t="str">
        <f>"1361000620"</f>
        <v>1361000620</v>
      </c>
    </row>
    <row r="9" spans="1:19">
      <c r="A9" s="1" t="str">
        <f t="shared" ref="A9:A12" si="6">"20160726"</f>
        <v>20160726</v>
      </c>
      <c r="B9" s="1" t="str">
        <f t="shared" si="2"/>
        <v>600575</v>
      </c>
      <c r="C9" s="1" t="str">
        <f t="shared" si="3"/>
        <v>皖江物流</v>
      </c>
      <c r="D9" s="1" t="str">
        <f t="shared" si="4"/>
        <v>融资买入</v>
      </c>
      <c r="E9" s="1">
        <v>4.45</v>
      </c>
      <c r="F9" s="1">
        <v>3000</v>
      </c>
      <c r="G9" s="1">
        <v>13350</v>
      </c>
      <c r="H9" s="1">
        <v>14.69</v>
      </c>
      <c r="I9" s="1">
        <v>13.77</v>
      </c>
      <c r="J9" s="1">
        <v>0</v>
      </c>
      <c r="K9" s="1">
        <v>0.27</v>
      </c>
      <c r="L9" s="1">
        <v>0</v>
      </c>
      <c r="M9" s="1">
        <v>0</v>
      </c>
      <c r="N9" s="1">
        <v>-13364.96</v>
      </c>
      <c r="O9" s="1">
        <v>-3285.33</v>
      </c>
      <c r="P9" s="1">
        <v>6000</v>
      </c>
      <c r="Q9" s="1" t="str">
        <f t="shared" ref="Q9:Q15" si="7">"E021635187"</f>
        <v>E021635187</v>
      </c>
      <c r="R9" s="1" t="str">
        <f t="shared" si="1"/>
        <v>人民币</v>
      </c>
      <c r="S9" s="1" t="str">
        <f>"1361000074"</f>
        <v>1361000074</v>
      </c>
    </row>
    <row r="10" spans="1:19">
      <c r="A10" s="1" t="str">
        <f t="shared" si="6"/>
        <v>20160726</v>
      </c>
      <c r="B10" s="1" t="str">
        <f t="shared" si="2"/>
        <v>600575</v>
      </c>
      <c r="C10" s="1" t="str">
        <f t="shared" si="3"/>
        <v>皖江物流</v>
      </c>
      <c r="D10" s="1" t="str">
        <f t="shared" si="4"/>
        <v>融资买入</v>
      </c>
      <c r="E10" s="1">
        <v>4.46</v>
      </c>
      <c r="F10" s="1">
        <v>3000</v>
      </c>
      <c r="G10" s="1">
        <v>13380</v>
      </c>
      <c r="H10" s="1">
        <v>14.72</v>
      </c>
      <c r="I10" s="1">
        <v>13.8</v>
      </c>
      <c r="J10" s="1">
        <v>0</v>
      </c>
      <c r="K10" s="1">
        <v>0.27</v>
      </c>
      <c r="L10" s="1">
        <v>0</v>
      </c>
      <c r="M10" s="1">
        <v>0</v>
      </c>
      <c r="N10" s="1">
        <v>-13394.99</v>
      </c>
      <c r="O10" s="1">
        <v>-16680.32</v>
      </c>
      <c r="P10" s="1">
        <v>9000</v>
      </c>
      <c r="Q10" s="1" t="str">
        <f t="shared" si="7"/>
        <v>E021635187</v>
      </c>
      <c r="R10" s="1" t="str">
        <f t="shared" si="1"/>
        <v>人民币</v>
      </c>
      <c r="S10" s="1" t="str">
        <f>"1361000079"</f>
        <v>1361000079</v>
      </c>
    </row>
    <row r="11" spans="1:19">
      <c r="A11" s="1" t="str">
        <f t="shared" si="6"/>
        <v>20160726</v>
      </c>
      <c r="D11" s="1" t="str">
        <f t="shared" si="5"/>
        <v>融资借入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13364.96</v>
      </c>
      <c r="O11" s="1">
        <v>-3315.36</v>
      </c>
      <c r="P11" s="1">
        <v>0</v>
      </c>
      <c r="R11" s="1" t="str">
        <f t="shared" si="1"/>
        <v>人民币</v>
      </c>
      <c r="S11" s="1" t="str">
        <f>"1361000074"</f>
        <v>1361000074</v>
      </c>
    </row>
    <row r="12" spans="1:19">
      <c r="A12" s="1" t="str">
        <f t="shared" si="6"/>
        <v>20160726</v>
      </c>
      <c r="D12" s="1" t="str">
        <f t="shared" si="5"/>
        <v>融资借入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13394.99</v>
      </c>
      <c r="O12" s="1">
        <v>10079.63</v>
      </c>
      <c r="P12" s="1">
        <v>0</v>
      </c>
      <c r="R12" s="1" t="str">
        <f t="shared" si="1"/>
        <v>人民币</v>
      </c>
      <c r="S12" s="1" t="str">
        <f>"1361000079"</f>
        <v>1361000079</v>
      </c>
    </row>
    <row r="13" spans="1:19">
      <c r="A13" s="1" t="str">
        <f>"20160727"</f>
        <v>20160727</v>
      </c>
      <c r="B13" s="1" t="str">
        <f>"510300"</f>
        <v>510300</v>
      </c>
      <c r="C13" s="1" t="str">
        <f>"300ETF"</f>
        <v>300ETF</v>
      </c>
      <c r="D13" s="1" t="str">
        <f>"担保品买入"</f>
        <v>担保品买入</v>
      </c>
      <c r="E13" s="1">
        <v>3.224</v>
      </c>
      <c r="F13" s="1">
        <v>3000</v>
      </c>
      <c r="G13" s="1">
        <v>9672</v>
      </c>
      <c r="H13" s="1">
        <v>5</v>
      </c>
      <c r="I13" s="1">
        <v>4.56</v>
      </c>
      <c r="J13" s="1">
        <v>0</v>
      </c>
      <c r="K13" s="1">
        <v>0</v>
      </c>
      <c r="L13" s="1">
        <v>0</v>
      </c>
      <c r="M13" s="1">
        <v>0</v>
      </c>
      <c r="N13" s="1">
        <v>-9677</v>
      </c>
      <c r="O13" s="1">
        <v>402.63</v>
      </c>
      <c r="P13" s="1">
        <v>3000</v>
      </c>
      <c r="Q13" s="1" t="str">
        <f t="shared" si="7"/>
        <v>E021635187</v>
      </c>
      <c r="R13" s="1" t="str">
        <f t="shared" si="1"/>
        <v>人民币</v>
      </c>
      <c r="S13" s="1" t="str">
        <f>"1361000733"</f>
        <v>1361000733</v>
      </c>
    </row>
    <row r="14" spans="1:19">
      <c r="A14" s="1" t="str">
        <f>"20160728"</f>
        <v>20160728</v>
      </c>
      <c r="B14" s="1" t="str">
        <f>"510300"</f>
        <v>510300</v>
      </c>
      <c r="C14" s="1" t="str">
        <f>"300ETF"</f>
        <v>300ETF</v>
      </c>
      <c r="D14" s="1" t="str">
        <f>"担保品卖出"</f>
        <v>担保品卖出</v>
      </c>
      <c r="E14" s="1">
        <v>3.275</v>
      </c>
      <c r="F14" s="1">
        <v>3000</v>
      </c>
      <c r="G14" s="1">
        <v>9825</v>
      </c>
      <c r="H14" s="1">
        <v>5</v>
      </c>
      <c r="I14" s="1">
        <v>4.56</v>
      </c>
      <c r="J14" s="1">
        <v>0</v>
      </c>
      <c r="K14" s="1">
        <v>0</v>
      </c>
      <c r="L14" s="1">
        <v>0</v>
      </c>
      <c r="M14" s="1">
        <v>0</v>
      </c>
      <c r="N14" s="1">
        <v>9820</v>
      </c>
      <c r="O14" s="1">
        <v>10222.63</v>
      </c>
      <c r="P14" s="1">
        <v>0</v>
      </c>
      <c r="Q14" s="1" t="str">
        <f t="shared" si="7"/>
        <v>E021635187</v>
      </c>
      <c r="R14" s="1" t="str">
        <f t="shared" si="1"/>
        <v>人民币</v>
      </c>
      <c r="S14" s="1" t="str">
        <f>"1361000405"</f>
        <v>1361000405</v>
      </c>
    </row>
    <row r="15" spans="1:19">
      <c r="A15" s="1" t="str">
        <f>"20160728"</f>
        <v>20160728</v>
      </c>
      <c r="B15" s="1" t="str">
        <f>"600575"</f>
        <v>600575</v>
      </c>
      <c r="C15" s="1" t="str">
        <f>"皖江物流"</f>
        <v>皖江物流</v>
      </c>
      <c r="D15" s="1" t="str">
        <f>"担保品买入"</f>
        <v>担保品买入</v>
      </c>
      <c r="E15" s="1">
        <v>4.28</v>
      </c>
      <c r="F15" s="1">
        <v>2300</v>
      </c>
      <c r="G15" s="1">
        <v>9844</v>
      </c>
      <c r="H15" s="1">
        <v>5</v>
      </c>
      <c r="I15" s="1">
        <v>4.32</v>
      </c>
      <c r="J15" s="1">
        <v>0</v>
      </c>
      <c r="K15" s="1">
        <v>0.2</v>
      </c>
      <c r="L15" s="1">
        <v>0</v>
      </c>
      <c r="M15" s="1">
        <v>0</v>
      </c>
      <c r="N15" s="1">
        <v>-9849.2</v>
      </c>
      <c r="O15" s="1">
        <v>373.43</v>
      </c>
      <c r="P15" s="1">
        <v>11300</v>
      </c>
      <c r="Q15" s="1" t="str">
        <f t="shared" si="7"/>
        <v>E021635187</v>
      </c>
      <c r="R15" s="1" t="str">
        <f t="shared" si="1"/>
        <v>人民币</v>
      </c>
      <c r="S15" s="1" t="str">
        <f>"1361000423"</f>
        <v>1361000423</v>
      </c>
    </row>
    <row r="16" spans="1:18">
      <c r="A16" s="1" t="str">
        <f t="shared" ref="A16:A18" si="8">"20160803"</f>
        <v>20160803</v>
      </c>
      <c r="D16" s="1" t="str">
        <f>"银行转证券"</f>
        <v>银行转证券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8475.74</v>
      </c>
      <c r="O16" s="1">
        <v>8849.17</v>
      </c>
      <c r="P16" s="1">
        <v>0</v>
      </c>
      <c r="R16" s="1" t="str">
        <f t="shared" si="1"/>
        <v>人民币</v>
      </c>
    </row>
    <row r="17" spans="1:18">
      <c r="A17" s="1" t="str">
        <f t="shared" si="8"/>
        <v>20160803</v>
      </c>
      <c r="D17" s="1" t="str">
        <f>"银行转证券"</f>
        <v>银行转证券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1000</v>
      </c>
      <c r="O17" s="1">
        <v>9849.17</v>
      </c>
      <c r="P17" s="1">
        <v>0</v>
      </c>
      <c r="R17" s="1" t="str">
        <f t="shared" si="1"/>
        <v>人民币</v>
      </c>
    </row>
    <row r="18" spans="1:19">
      <c r="A18" s="1" t="str">
        <f t="shared" si="8"/>
        <v>20160803</v>
      </c>
      <c r="B18" s="1" t="str">
        <f>"300535"</f>
        <v>300535</v>
      </c>
      <c r="D18" s="1" t="str">
        <f>"配售缴款"</f>
        <v>配售缴款</v>
      </c>
      <c r="E18" s="1">
        <v>18.5</v>
      </c>
      <c r="F18" s="1">
        <v>500</v>
      </c>
      <c r="G18" s="1">
        <v>9250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-9250</v>
      </c>
      <c r="O18" s="1">
        <v>599.17</v>
      </c>
      <c r="P18" s="1">
        <v>0</v>
      </c>
      <c r="Q18" s="1" t="str">
        <f t="shared" ref="Q18:Q21" si="9">"0602175409"</f>
        <v>0602175409</v>
      </c>
      <c r="R18" s="1" t="str">
        <f t="shared" si="1"/>
        <v>人民币</v>
      </c>
      <c r="S18" s="1" t="str">
        <f>"T4000008"</f>
        <v>T4000008</v>
      </c>
    </row>
    <row r="19" spans="1:18">
      <c r="A19" s="1" t="str">
        <f>"20160805"</f>
        <v>20160805</v>
      </c>
      <c r="B19" s="1" t="str">
        <f>"300535"</f>
        <v>300535</v>
      </c>
      <c r="C19" s="1" t="str">
        <f>"达威股份"</f>
        <v>达威股份</v>
      </c>
      <c r="D19" s="1" t="str">
        <f>"新股入帐"</f>
        <v>新股入帐</v>
      </c>
      <c r="E19" s="1">
        <v>0</v>
      </c>
      <c r="F19" s="1">
        <v>500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599.17</v>
      </c>
      <c r="P19" s="1">
        <v>500</v>
      </c>
      <c r="Q19" s="1" t="str">
        <f t="shared" si="9"/>
        <v>0602175409</v>
      </c>
      <c r="R19" s="1" t="str">
        <f t="shared" si="1"/>
        <v>人民币</v>
      </c>
    </row>
    <row r="20" spans="1:19">
      <c r="A20" s="1" t="str">
        <f>"20160805"</f>
        <v>20160805</v>
      </c>
      <c r="B20" s="1" t="str">
        <f>"000667"</f>
        <v>000667</v>
      </c>
      <c r="C20" s="1" t="str">
        <f>"美好集团"</f>
        <v>美好集团</v>
      </c>
      <c r="D20" s="1" t="str">
        <f>"担保品卖出"</f>
        <v>担保品卖出</v>
      </c>
      <c r="E20" s="1">
        <v>3.88</v>
      </c>
      <c r="F20" s="1">
        <v>3000</v>
      </c>
      <c r="G20" s="1">
        <v>11640</v>
      </c>
      <c r="H20" s="1">
        <v>5</v>
      </c>
      <c r="I20" s="1">
        <v>3.97</v>
      </c>
      <c r="J20" s="1">
        <v>11.64</v>
      </c>
      <c r="K20" s="1">
        <v>0</v>
      </c>
      <c r="L20" s="1">
        <v>0</v>
      </c>
      <c r="M20" s="1">
        <v>0</v>
      </c>
      <c r="N20" s="1">
        <v>11623.36</v>
      </c>
      <c r="O20" s="1">
        <v>12222.53</v>
      </c>
      <c r="P20" s="1">
        <v>7000</v>
      </c>
      <c r="Q20" s="1" t="str">
        <f t="shared" si="9"/>
        <v>0602175409</v>
      </c>
      <c r="R20" s="1" t="str">
        <f t="shared" si="1"/>
        <v>人民币</v>
      </c>
      <c r="S20" s="1" t="str">
        <f>"T4000529"</f>
        <v>T4000529</v>
      </c>
    </row>
    <row r="21" spans="1:18">
      <c r="A21" s="1" t="str">
        <f>"20160808"</f>
        <v>20160808</v>
      </c>
      <c r="B21" s="1" t="str">
        <f>"000667"</f>
        <v>000667</v>
      </c>
      <c r="C21" s="1" t="str">
        <f>"美好集团"</f>
        <v>美好集团</v>
      </c>
      <c r="D21" s="1" t="str">
        <f>"股息红利差异扣税"</f>
        <v>股息红利差异扣税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-7.5</v>
      </c>
      <c r="O21" s="1">
        <v>12215.03</v>
      </c>
      <c r="P21" s="1">
        <v>0</v>
      </c>
      <c r="Q21" s="1" t="str">
        <f t="shared" si="9"/>
        <v>0602175409</v>
      </c>
      <c r="R21" s="1" t="str">
        <f t="shared" si="1"/>
        <v>人民币</v>
      </c>
    </row>
    <row r="22" spans="1:18">
      <c r="A22" s="1" t="str">
        <f>"20160810"</f>
        <v>20160810</v>
      </c>
      <c r="D22" s="1" t="str">
        <f>"银行转证券"</f>
        <v>银行转证券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29000</v>
      </c>
      <c r="O22" s="1">
        <v>41215.03</v>
      </c>
      <c r="P22" s="1">
        <v>0</v>
      </c>
      <c r="R22" s="1" t="str">
        <f t="shared" si="1"/>
        <v>人民币</v>
      </c>
    </row>
    <row r="23" spans="1:19">
      <c r="A23" s="1" t="str">
        <f>"20160811"</f>
        <v>20160811</v>
      </c>
      <c r="B23" s="1" t="str">
        <f>"600886"</f>
        <v>600886</v>
      </c>
      <c r="C23" s="1" t="str">
        <f>"国投电力"</f>
        <v>国投电力</v>
      </c>
      <c r="D23" s="1" t="str">
        <f>"担保品买入"</f>
        <v>担保品买入</v>
      </c>
      <c r="E23" s="1">
        <v>7.04</v>
      </c>
      <c r="F23" s="1">
        <v>5800</v>
      </c>
      <c r="G23" s="1">
        <v>40832</v>
      </c>
      <c r="H23" s="1">
        <v>12.66</v>
      </c>
      <c r="I23" s="1">
        <v>9.86</v>
      </c>
      <c r="J23" s="1">
        <v>0</v>
      </c>
      <c r="K23" s="1">
        <v>0.82</v>
      </c>
      <c r="L23" s="1">
        <v>0</v>
      </c>
      <c r="M23" s="1">
        <v>0</v>
      </c>
      <c r="N23" s="1">
        <v>-40845.48</v>
      </c>
      <c r="O23" s="1">
        <v>369.55</v>
      </c>
      <c r="P23" s="1">
        <v>26800</v>
      </c>
      <c r="Q23" s="1" t="str">
        <f>"E021635187"</f>
        <v>E021635187</v>
      </c>
      <c r="R23" s="1" t="str">
        <f t="shared" si="1"/>
        <v>人民币</v>
      </c>
      <c r="S23" s="1" t="str">
        <f>"1361000075"</f>
        <v>1361000075</v>
      </c>
    </row>
    <row r="24" spans="1:19">
      <c r="A24" s="1" t="str">
        <f t="shared" ref="A24:A28" si="10">"20160815"</f>
        <v>20160815</v>
      </c>
      <c r="B24" s="1" t="str">
        <f>"600886"</f>
        <v>600886</v>
      </c>
      <c r="C24" s="1" t="str">
        <f>"国投电力"</f>
        <v>国投电力</v>
      </c>
      <c r="D24" s="1" t="str">
        <f>"担保品卖出"</f>
        <v>担保品卖出</v>
      </c>
      <c r="E24" s="1">
        <v>7.55</v>
      </c>
      <c r="F24" s="1">
        <v>2000</v>
      </c>
      <c r="G24" s="1">
        <v>15100</v>
      </c>
      <c r="H24" s="1">
        <v>5</v>
      </c>
      <c r="I24" s="1">
        <v>3.96</v>
      </c>
      <c r="J24" s="1">
        <v>15.1</v>
      </c>
      <c r="K24" s="1">
        <v>0.3</v>
      </c>
      <c r="L24" s="1">
        <v>0</v>
      </c>
      <c r="M24" s="1">
        <v>0</v>
      </c>
      <c r="N24" s="1">
        <v>15079.6</v>
      </c>
      <c r="O24" s="1">
        <v>15449.15</v>
      </c>
      <c r="P24" s="1">
        <v>24800</v>
      </c>
      <c r="Q24" s="1" t="str">
        <f>"E021635187"</f>
        <v>E021635187</v>
      </c>
      <c r="R24" s="1" t="str">
        <f t="shared" si="1"/>
        <v>人民币</v>
      </c>
      <c r="S24" s="1" t="str">
        <f t="shared" ref="S24:S26" si="11">"1361000635"</f>
        <v>1361000635</v>
      </c>
    </row>
    <row r="25" spans="1:19">
      <c r="A25" s="1" t="str">
        <f t="shared" si="10"/>
        <v>20160815</v>
      </c>
      <c r="D25" s="1" t="str">
        <f>"偿还融资负债本金"</f>
        <v>偿还融资负债本金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-482.37</v>
      </c>
      <c r="O25" s="1">
        <v>14966.78</v>
      </c>
      <c r="P25" s="1">
        <v>0</v>
      </c>
      <c r="R25" s="1" t="str">
        <f t="shared" si="1"/>
        <v>人民币</v>
      </c>
      <c r="S25" s="1" t="str">
        <f t="shared" si="11"/>
        <v>1361000635</v>
      </c>
    </row>
    <row r="26" spans="1:19">
      <c r="A26" s="1" t="str">
        <f t="shared" si="10"/>
        <v>20160815</v>
      </c>
      <c r="D26" s="1" t="str">
        <f>"偿还融资负债本金"</f>
        <v>偿还融资负债本金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-12694.2</v>
      </c>
      <c r="O26" s="1">
        <v>2272.58</v>
      </c>
      <c r="P26" s="1">
        <v>0</v>
      </c>
      <c r="R26" s="1" t="str">
        <f t="shared" si="1"/>
        <v>人民币</v>
      </c>
      <c r="S26" s="1" t="str">
        <f t="shared" si="11"/>
        <v>1361000635</v>
      </c>
    </row>
    <row r="27" spans="1:18">
      <c r="A27" s="1" t="str">
        <f t="shared" si="10"/>
        <v>20160815</v>
      </c>
      <c r="D27" s="1" t="str">
        <f t="shared" ref="D27:D32" si="12">"偿还融资利息"</f>
        <v>偿还融资利息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-4.51</v>
      </c>
      <c r="O27" s="1">
        <v>2268.07</v>
      </c>
      <c r="P27" s="1">
        <v>0</v>
      </c>
      <c r="R27" s="1" t="str">
        <f t="shared" si="1"/>
        <v>人民币</v>
      </c>
    </row>
    <row r="28" spans="1:18">
      <c r="A28" s="1" t="str">
        <f t="shared" si="10"/>
        <v>20160815</v>
      </c>
      <c r="D28" s="1" t="str">
        <f t="shared" si="12"/>
        <v>偿还融资利息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-344.16</v>
      </c>
      <c r="O28" s="1">
        <v>1923.91</v>
      </c>
      <c r="P28" s="1">
        <v>0</v>
      </c>
      <c r="R28" s="1" t="str">
        <f t="shared" si="1"/>
        <v>人民币</v>
      </c>
    </row>
    <row r="29" spans="1:18">
      <c r="A29" s="1" t="str">
        <f>"20160816"</f>
        <v>20160816</v>
      </c>
      <c r="B29" s="1" t="str">
        <f>"600886"</f>
        <v>600886</v>
      </c>
      <c r="C29" s="1" t="str">
        <f>"国投电力"</f>
        <v>国投电力</v>
      </c>
      <c r="D29" s="1" t="str">
        <f>"股息红利差异扣税"</f>
        <v>股息红利差异扣税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-55.99</v>
      </c>
      <c r="O29" s="1">
        <v>1867.92</v>
      </c>
      <c r="P29" s="1">
        <v>0</v>
      </c>
      <c r="Q29" s="1" t="str">
        <f>"E021635187"</f>
        <v>E021635187</v>
      </c>
      <c r="R29" s="1" t="str">
        <f t="shared" si="1"/>
        <v>人民币</v>
      </c>
    </row>
    <row r="30" spans="1:18">
      <c r="A30" s="1" t="str">
        <f>"20160826"</f>
        <v>20160826</v>
      </c>
      <c r="D30" s="1" t="str">
        <f>"证券转银行"</f>
        <v>证券转银行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-1000</v>
      </c>
      <c r="O30" s="1">
        <v>867.92</v>
      </c>
      <c r="P30" s="1">
        <v>0</v>
      </c>
      <c r="R30" s="1" t="str">
        <f t="shared" si="1"/>
        <v>人民币</v>
      </c>
    </row>
    <row r="31" spans="1:18">
      <c r="A31" s="1" t="str">
        <f>"20160831"</f>
        <v>20160831</v>
      </c>
      <c r="D31" s="1" t="str">
        <f t="shared" ref="D31:D36" si="13">"偿还融资负债本金"</f>
        <v>偿还融资负债本金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-738.2</v>
      </c>
      <c r="O31" s="1">
        <v>0</v>
      </c>
      <c r="P31" s="1">
        <v>0</v>
      </c>
      <c r="R31" s="1" t="str">
        <f t="shared" si="1"/>
        <v>人民币</v>
      </c>
    </row>
    <row r="32" spans="1:18">
      <c r="A32" s="1" t="str">
        <f>"20160831"</f>
        <v>20160831</v>
      </c>
      <c r="D32" s="1" t="str">
        <f t="shared" si="12"/>
        <v>偿还融资利息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-129.72</v>
      </c>
      <c r="O32" s="1">
        <v>738.2</v>
      </c>
      <c r="P32" s="1">
        <v>0</v>
      </c>
      <c r="R32" s="1" t="str">
        <f t="shared" si="1"/>
        <v>人民币</v>
      </c>
    </row>
    <row r="33" spans="1:19">
      <c r="A33" s="1" t="str">
        <f t="shared" ref="A33:A39" si="14">"20160905"</f>
        <v>20160905</v>
      </c>
      <c r="B33" s="1" t="str">
        <f>"300535"</f>
        <v>300535</v>
      </c>
      <c r="C33" s="1" t="str">
        <f>"达威股份"</f>
        <v>达威股份</v>
      </c>
      <c r="D33" s="1" t="str">
        <f>"担保品卖出"</f>
        <v>担保品卖出</v>
      </c>
      <c r="E33" s="1">
        <v>120.546</v>
      </c>
      <c r="F33" s="1">
        <v>500</v>
      </c>
      <c r="G33" s="1">
        <v>60273</v>
      </c>
      <c r="H33" s="1">
        <v>18.68</v>
      </c>
      <c r="I33" s="1">
        <v>13.33</v>
      </c>
      <c r="J33" s="1">
        <v>60.27</v>
      </c>
      <c r="K33" s="1">
        <v>0</v>
      </c>
      <c r="L33" s="1">
        <v>0</v>
      </c>
      <c r="M33" s="1">
        <v>0</v>
      </c>
      <c r="N33" s="1">
        <v>60194.05</v>
      </c>
      <c r="O33" s="1">
        <v>60194.05</v>
      </c>
      <c r="P33" s="1">
        <v>0</v>
      </c>
      <c r="Q33" s="1" t="str">
        <f>"0602175409"</f>
        <v>0602175409</v>
      </c>
      <c r="R33" s="1" t="str">
        <f t="shared" si="1"/>
        <v>人民币</v>
      </c>
      <c r="S33" s="1" t="str">
        <f>"T4000231"</f>
        <v>T4000231</v>
      </c>
    </row>
    <row r="34" spans="1:18">
      <c r="A34" s="1" t="str">
        <f t="shared" si="14"/>
        <v>20160905</v>
      </c>
      <c r="D34" s="1" t="str">
        <f t="shared" si="13"/>
        <v>偿还融资负债本金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-12566.69</v>
      </c>
      <c r="O34" s="1">
        <v>47612.8</v>
      </c>
      <c r="P34" s="1">
        <v>0</v>
      </c>
      <c r="R34" s="1" t="str">
        <f t="shared" si="1"/>
        <v>人民币</v>
      </c>
    </row>
    <row r="35" spans="1:18">
      <c r="A35" s="1" t="str">
        <f t="shared" si="14"/>
        <v>20160905</v>
      </c>
      <c r="D35" s="1" t="str">
        <f t="shared" ref="D35:D39" si="15">"偿还融资利息"</f>
        <v>偿还融资利息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-14.56</v>
      </c>
      <c r="O35" s="1">
        <v>60179.49</v>
      </c>
      <c r="P35" s="1">
        <v>0</v>
      </c>
      <c r="R35" s="1" t="str">
        <f t="shared" si="1"/>
        <v>人民币</v>
      </c>
    </row>
    <row r="36" spans="1:18">
      <c r="A36" s="1" t="str">
        <f t="shared" si="14"/>
        <v>20160905</v>
      </c>
      <c r="D36" s="1" t="str">
        <f t="shared" si="13"/>
        <v>偿还融资负债本金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-13394.99</v>
      </c>
      <c r="O36" s="1">
        <v>34090.36</v>
      </c>
      <c r="P36" s="1">
        <v>0</v>
      </c>
      <c r="R36" s="1" t="str">
        <f t="shared" si="1"/>
        <v>人民币</v>
      </c>
    </row>
    <row r="37" spans="1:18">
      <c r="A37" s="1" t="str">
        <f t="shared" si="14"/>
        <v>20160905</v>
      </c>
      <c r="D37" s="1" t="str">
        <f t="shared" si="15"/>
        <v>偿还融资利息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-127.45</v>
      </c>
      <c r="O37" s="1">
        <v>47485.35</v>
      </c>
      <c r="P37" s="1">
        <v>0</v>
      </c>
      <c r="R37" s="1" t="str">
        <f t="shared" si="1"/>
        <v>人民币</v>
      </c>
    </row>
    <row r="38" spans="1:18">
      <c r="A38" s="1" t="str">
        <f t="shared" si="14"/>
        <v>20160905</v>
      </c>
      <c r="D38" s="1" t="str">
        <f>"偿还融资负债本金"</f>
        <v>偿还融资负债本金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-13364.96</v>
      </c>
      <c r="O38" s="1">
        <v>20598.3</v>
      </c>
      <c r="P38" s="1">
        <v>0</v>
      </c>
      <c r="R38" s="1" t="str">
        <f t="shared" si="1"/>
        <v>人民币</v>
      </c>
    </row>
    <row r="39" spans="1:18">
      <c r="A39" s="1" t="str">
        <f t="shared" si="14"/>
        <v>20160905</v>
      </c>
      <c r="D39" s="1" t="str">
        <f t="shared" si="15"/>
        <v>偿还融资利息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-127.1</v>
      </c>
      <c r="O39" s="1">
        <v>33963.26</v>
      </c>
      <c r="P39" s="1">
        <v>0</v>
      </c>
      <c r="R39" s="1" t="str">
        <f t="shared" si="1"/>
        <v>人民币</v>
      </c>
    </row>
    <row r="40" spans="1:19">
      <c r="A40" s="1" t="str">
        <f>"20160909"</f>
        <v>20160909</v>
      </c>
      <c r="B40" s="1" t="str">
        <f>"600886"</f>
        <v>600886</v>
      </c>
      <c r="C40" s="1" t="str">
        <f>"国投电力"</f>
        <v>国投电力</v>
      </c>
      <c r="D40" s="1" t="str">
        <f>"担保品买入"</f>
        <v>担保品买入</v>
      </c>
      <c r="E40" s="1">
        <v>6.78</v>
      </c>
      <c r="F40" s="1">
        <v>2000</v>
      </c>
      <c r="G40" s="1">
        <v>13560</v>
      </c>
      <c r="H40" s="1">
        <v>5</v>
      </c>
      <c r="I40" s="1">
        <v>4.07</v>
      </c>
      <c r="J40" s="1">
        <v>0</v>
      </c>
      <c r="K40" s="1">
        <v>0.27</v>
      </c>
      <c r="L40" s="1">
        <v>0</v>
      </c>
      <c r="M40" s="1">
        <v>0</v>
      </c>
      <c r="N40" s="1">
        <v>-13565.27</v>
      </c>
      <c r="O40" s="1">
        <v>7033.03</v>
      </c>
      <c r="P40" s="1">
        <v>26800</v>
      </c>
      <c r="Q40" s="1" t="str">
        <f>"E021635187"</f>
        <v>E021635187</v>
      </c>
      <c r="R40" s="1" t="str">
        <f t="shared" si="1"/>
        <v>人民币</v>
      </c>
      <c r="S40" s="1" t="str">
        <f>"1361000434"</f>
        <v>1361000434</v>
      </c>
    </row>
    <row r="41" spans="1:18">
      <c r="A41" s="1" t="str">
        <f t="shared" ref="A41:A44" si="16">"20160912"</f>
        <v>20160912</v>
      </c>
      <c r="D41" s="1" t="str">
        <f>"银行转证券"</f>
        <v>银行转证券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7000</v>
      </c>
      <c r="O41" s="1">
        <v>14033.03</v>
      </c>
      <c r="P41" s="1">
        <v>0</v>
      </c>
      <c r="R41" s="1" t="str">
        <f t="shared" si="1"/>
        <v>人民币</v>
      </c>
    </row>
    <row r="42" spans="1:19">
      <c r="A42" s="1" t="str">
        <f t="shared" si="16"/>
        <v>20160912</v>
      </c>
      <c r="B42" s="1" t="str">
        <f>"600886"</f>
        <v>600886</v>
      </c>
      <c r="C42" s="1" t="str">
        <f>"国投电力"</f>
        <v>国投电力</v>
      </c>
      <c r="D42" s="1" t="str">
        <f>"融资买入"</f>
        <v>融资买入</v>
      </c>
      <c r="E42" s="1">
        <v>6.66</v>
      </c>
      <c r="F42" s="1">
        <v>2000</v>
      </c>
      <c r="G42" s="1">
        <v>13320</v>
      </c>
      <c r="H42" s="1">
        <v>14.65</v>
      </c>
      <c r="I42" s="1">
        <v>13.73</v>
      </c>
      <c r="J42" s="1">
        <v>0</v>
      </c>
      <c r="K42" s="1">
        <v>0.27</v>
      </c>
      <c r="L42" s="1">
        <v>0</v>
      </c>
      <c r="M42" s="1">
        <v>0</v>
      </c>
      <c r="N42" s="1">
        <v>-13334.92</v>
      </c>
      <c r="O42" s="1">
        <v>698.11</v>
      </c>
      <c r="P42" s="1">
        <v>28800</v>
      </c>
      <c r="Q42" s="1" t="str">
        <f>"E021635187"</f>
        <v>E021635187</v>
      </c>
      <c r="R42" s="1" t="str">
        <f t="shared" si="1"/>
        <v>人民币</v>
      </c>
      <c r="S42" s="1" t="str">
        <f>"1361000315"</f>
        <v>1361000315</v>
      </c>
    </row>
    <row r="43" spans="1:19">
      <c r="A43" s="1" t="str">
        <f t="shared" si="16"/>
        <v>20160912</v>
      </c>
      <c r="D43" s="1" t="str">
        <f>"融资借入"</f>
        <v>融资借入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13334.92</v>
      </c>
      <c r="O43" s="1">
        <v>14033.03</v>
      </c>
      <c r="P43" s="1">
        <v>0</v>
      </c>
      <c r="R43" s="1" t="str">
        <f t="shared" si="1"/>
        <v>人民币</v>
      </c>
      <c r="S43" s="1" t="str">
        <f>"1361000315"</f>
        <v>1361000315</v>
      </c>
    </row>
    <row r="44" spans="1:18">
      <c r="A44" s="1" t="str">
        <f t="shared" si="16"/>
        <v>20160912</v>
      </c>
      <c r="D44" s="1" t="str">
        <f>"偿还融资负债本金"</f>
        <v>偿还融资负债本金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-13334.92</v>
      </c>
      <c r="O44" s="1">
        <v>698.11</v>
      </c>
      <c r="P44" s="1">
        <v>0</v>
      </c>
      <c r="R44" s="1" t="str">
        <f t="shared" si="1"/>
        <v>人民币</v>
      </c>
    </row>
    <row r="45" spans="1:18">
      <c r="A45" s="1" t="str">
        <f>"20160920"</f>
        <v>20160920</v>
      </c>
      <c r="D45" s="1" t="str">
        <f>"利息归本"</f>
        <v>利息归本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5.59</v>
      </c>
      <c r="O45" s="1">
        <v>703.7</v>
      </c>
      <c r="P45" s="1">
        <v>0</v>
      </c>
      <c r="R45" s="1" t="str">
        <f t="shared" si="1"/>
        <v>人民币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9"/>
  <sheetViews>
    <sheetView topLeftCell="A13" workbookViewId="0">
      <selection activeCell="E40" sqref="E40"/>
    </sheetView>
  </sheetViews>
  <sheetFormatPr defaultColWidth="9" defaultRowHeight="13.5"/>
  <cols>
    <col min="1" max="16384" width="9" style="1"/>
  </cols>
  <sheetData>
    <row r="1" spans="1:19">
      <c r="A1" s="1" t="str">
        <f>"交割日期"</f>
        <v>交割日期</v>
      </c>
      <c r="B1" s="1" t="str">
        <f>"证券代码"</f>
        <v>证券代码</v>
      </c>
      <c r="C1" s="1" t="str">
        <f>"证券名称"</f>
        <v>证券名称</v>
      </c>
      <c r="D1" s="1" t="str">
        <f>"业务名称"</f>
        <v>业务名称</v>
      </c>
      <c r="E1" s="1" t="str">
        <f>"成交价格"</f>
        <v>成交价格</v>
      </c>
      <c r="F1" s="1" t="str">
        <f>"成交数量"</f>
        <v>成交数量</v>
      </c>
      <c r="G1" s="1" t="str">
        <f>"成交金额"</f>
        <v>成交金额</v>
      </c>
      <c r="H1" s="1" t="str">
        <f>"手续费"</f>
        <v>手续费</v>
      </c>
      <c r="I1" s="1" t="str">
        <f>"净佣金"</f>
        <v>净佣金</v>
      </c>
      <c r="J1" s="1" t="str">
        <f>"印花税"</f>
        <v>印花税</v>
      </c>
      <c r="K1" s="1" t="str">
        <f>"过户费"</f>
        <v>过户费</v>
      </c>
      <c r="L1" s="1" t="str">
        <f>"结算费"</f>
        <v>结算费</v>
      </c>
      <c r="M1" s="1" t="str">
        <f>"其他费"</f>
        <v>其他费</v>
      </c>
      <c r="N1" s="1" t="str">
        <f>"发生金额"</f>
        <v>发生金额</v>
      </c>
      <c r="O1" s="1" t="str">
        <f>"剩余金额"</f>
        <v>剩余金额</v>
      </c>
      <c r="P1" s="1" t="str">
        <f>"证券数量"</f>
        <v>证券数量</v>
      </c>
      <c r="Q1" s="1" t="str">
        <f>"股东代码"</f>
        <v>股东代码</v>
      </c>
      <c r="R1" s="1" t="str">
        <f>"币种"</f>
        <v>币种</v>
      </c>
      <c r="S1" s="1" t="str">
        <f>"成交编号"</f>
        <v>成交编号</v>
      </c>
    </row>
    <row r="2" spans="1:18">
      <c r="A2" s="1" t="str">
        <f>"20161017"</f>
        <v>20161017</v>
      </c>
      <c r="D2" s="1" t="str">
        <f>"银行转证券"</f>
        <v>银行转证券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30000</v>
      </c>
      <c r="O2" s="1">
        <v>30703.7</v>
      </c>
      <c r="P2" s="1">
        <v>0</v>
      </c>
      <c r="R2" s="1" t="str">
        <f t="shared" ref="R2:R39" si="0">"人民币"</f>
        <v>人民币</v>
      </c>
    </row>
    <row r="3" spans="1:18">
      <c r="A3" s="1" t="str">
        <f>"20161017"</f>
        <v>20161017</v>
      </c>
      <c r="D3" s="1" t="str">
        <f>"证券转银行"</f>
        <v>证券转银行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-30000</v>
      </c>
      <c r="O3" s="1">
        <v>703.7</v>
      </c>
      <c r="P3" s="1">
        <v>0</v>
      </c>
      <c r="R3" s="1" t="str">
        <f t="shared" si="0"/>
        <v>人民币</v>
      </c>
    </row>
    <row r="4" spans="1:19">
      <c r="A4" s="1" t="str">
        <f>"20161024"</f>
        <v>20161024</v>
      </c>
      <c r="B4" s="1" t="str">
        <f>"600886"</f>
        <v>600886</v>
      </c>
      <c r="C4" s="1" t="str">
        <f>"国投电力"</f>
        <v>国投电力</v>
      </c>
      <c r="D4" s="1" t="str">
        <f>"担保品卖出"</f>
        <v>担保品卖出</v>
      </c>
      <c r="E4" s="1">
        <v>6.75</v>
      </c>
      <c r="F4" s="1">
        <v>4000</v>
      </c>
      <c r="G4" s="1">
        <v>27000</v>
      </c>
      <c r="H4" s="1">
        <v>8.37</v>
      </c>
      <c r="I4" s="1">
        <v>6.52</v>
      </c>
      <c r="J4" s="1">
        <v>27.01</v>
      </c>
      <c r="K4" s="1">
        <v>0.54</v>
      </c>
      <c r="L4" s="1">
        <v>0</v>
      </c>
      <c r="M4" s="1">
        <v>0</v>
      </c>
      <c r="N4" s="1">
        <v>26964.08</v>
      </c>
      <c r="O4" s="1">
        <v>27667.78</v>
      </c>
      <c r="P4" s="1">
        <v>24800</v>
      </c>
      <c r="Q4" s="1" t="str">
        <f t="shared" ref="Q4:Q7" si="1">"E021635187"</f>
        <v>E021635187</v>
      </c>
      <c r="R4" s="1" t="str">
        <f t="shared" si="0"/>
        <v>人民币</v>
      </c>
      <c r="S4" s="1" t="str">
        <f>"1361000191"</f>
        <v>1361000191</v>
      </c>
    </row>
    <row r="5" spans="1:19">
      <c r="A5" s="1" t="str">
        <f>"20161024"</f>
        <v>20161024</v>
      </c>
      <c r="B5" s="1" t="str">
        <f t="shared" ref="B5:B9" si="2">"600575"</f>
        <v>600575</v>
      </c>
      <c r="C5" s="1" t="str">
        <f t="shared" ref="C5:C9" si="3">"皖江物流"</f>
        <v>皖江物流</v>
      </c>
      <c r="D5" s="1" t="str">
        <f t="shared" ref="D5:D9" si="4">"担保品买入"</f>
        <v>担保品买入</v>
      </c>
      <c r="E5" s="1">
        <v>4.51</v>
      </c>
      <c r="F5" s="1">
        <v>6000</v>
      </c>
      <c r="G5" s="1">
        <v>27060</v>
      </c>
      <c r="H5" s="1">
        <v>8.39</v>
      </c>
      <c r="I5" s="1">
        <v>6.53</v>
      </c>
      <c r="J5" s="1">
        <v>0</v>
      </c>
      <c r="K5" s="1">
        <v>0.54</v>
      </c>
      <c r="L5" s="1">
        <v>0</v>
      </c>
      <c r="M5" s="1">
        <v>0</v>
      </c>
      <c r="N5" s="1">
        <v>-27068.93</v>
      </c>
      <c r="O5" s="1">
        <v>598.85</v>
      </c>
      <c r="P5" s="1">
        <v>17300</v>
      </c>
      <c r="Q5" s="1" t="str">
        <f t="shared" si="1"/>
        <v>E021635187</v>
      </c>
      <c r="R5" s="1" t="str">
        <f t="shared" si="0"/>
        <v>人民币</v>
      </c>
      <c r="S5" s="1" t="str">
        <f>"1361000451"</f>
        <v>1361000451</v>
      </c>
    </row>
    <row r="6" spans="1:18">
      <c r="A6" s="1" t="str">
        <f>"20161025"</f>
        <v>20161025</v>
      </c>
      <c r="B6" s="1" t="str">
        <f>"600886"</f>
        <v>600886</v>
      </c>
      <c r="C6" s="1" t="str">
        <f>"国投电力"</f>
        <v>国投电力</v>
      </c>
      <c r="D6" s="1" t="str">
        <f>"股息红利差异扣税"</f>
        <v>股息红利差异扣税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-111.97</v>
      </c>
      <c r="O6" s="1">
        <v>486.88</v>
      </c>
      <c r="P6" s="1">
        <v>0</v>
      </c>
      <c r="Q6" s="1" t="str">
        <f t="shared" si="1"/>
        <v>E021635187</v>
      </c>
      <c r="R6" s="1" t="str">
        <f t="shared" si="0"/>
        <v>人民币</v>
      </c>
    </row>
    <row r="7" spans="1:19">
      <c r="A7" s="1" t="str">
        <f>"20161103"</f>
        <v>20161103</v>
      </c>
      <c r="B7" s="1" t="str">
        <f t="shared" si="2"/>
        <v>600575</v>
      </c>
      <c r="C7" s="1" t="str">
        <f t="shared" si="3"/>
        <v>皖江物流</v>
      </c>
      <c r="D7" s="1" t="str">
        <f>"担保品卖出"</f>
        <v>担保品卖出</v>
      </c>
      <c r="E7" s="1">
        <v>4.54</v>
      </c>
      <c r="F7" s="1">
        <v>6000</v>
      </c>
      <c r="G7" s="1">
        <v>27240</v>
      </c>
      <c r="H7" s="1">
        <v>8.44</v>
      </c>
      <c r="I7" s="1">
        <v>6.57</v>
      </c>
      <c r="J7" s="1">
        <v>27.24</v>
      </c>
      <c r="K7" s="1">
        <v>0.54</v>
      </c>
      <c r="L7" s="1">
        <v>0</v>
      </c>
      <c r="M7" s="1">
        <v>0</v>
      </c>
      <c r="N7" s="1">
        <v>27203.78</v>
      </c>
      <c r="O7" s="1">
        <v>27690.66</v>
      </c>
      <c r="P7" s="1">
        <v>11300</v>
      </c>
      <c r="Q7" s="1" t="str">
        <f t="shared" si="1"/>
        <v>E021635187</v>
      </c>
      <c r="R7" s="1" t="str">
        <f t="shared" si="0"/>
        <v>人民币</v>
      </c>
      <c r="S7" s="1" t="str">
        <f>"1361000449"</f>
        <v>1361000449</v>
      </c>
    </row>
    <row r="8" spans="1:19">
      <c r="A8" s="1" t="str">
        <f>"20161109"</f>
        <v>20161109</v>
      </c>
      <c r="B8" s="1" t="str">
        <f t="shared" ref="B8:B11" si="5">"000667"</f>
        <v>000667</v>
      </c>
      <c r="C8" s="1" t="str">
        <f t="shared" ref="C8:C11" si="6">"美好置业"</f>
        <v>美好置业</v>
      </c>
      <c r="D8" s="1" t="str">
        <f t="shared" si="4"/>
        <v>担保品买入</v>
      </c>
      <c r="E8" s="1">
        <v>3.91</v>
      </c>
      <c r="F8" s="1">
        <v>3000</v>
      </c>
      <c r="G8" s="1">
        <v>11730</v>
      </c>
      <c r="H8" s="1">
        <v>5</v>
      </c>
      <c r="I8" s="1">
        <v>3.97</v>
      </c>
      <c r="J8" s="1">
        <v>0</v>
      </c>
      <c r="K8" s="1">
        <v>0</v>
      </c>
      <c r="L8" s="1">
        <v>0</v>
      </c>
      <c r="M8" s="1">
        <v>0</v>
      </c>
      <c r="N8" s="1">
        <v>-11735</v>
      </c>
      <c r="O8" s="1">
        <v>15955.66</v>
      </c>
      <c r="P8" s="1">
        <v>10000</v>
      </c>
      <c r="Q8" s="1" t="str">
        <f t="shared" ref="Q8:Q11" si="7">"0602175409"</f>
        <v>0602175409</v>
      </c>
      <c r="R8" s="1" t="str">
        <f t="shared" si="0"/>
        <v>人民币</v>
      </c>
      <c r="S8" s="1" t="str">
        <f>"T4000097"</f>
        <v>T4000097</v>
      </c>
    </row>
    <row r="9" spans="1:19">
      <c r="A9" s="1" t="str">
        <f>"20161109"</f>
        <v>20161109</v>
      </c>
      <c r="B9" s="1" t="str">
        <f t="shared" si="2"/>
        <v>600575</v>
      </c>
      <c r="C9" s="1" t="str">
        <f t="shared" si="3"/>
        <v>皖江物流</v>
      </c>
      <c r="D9" s="1" t="str">
        <f t="shared" si="4"/>
        <v>担保品买入</v>
      </c>
      <c r="E9" s="1">
        <v>4.57</v>
      </c>
      <c r="F9" s="1">
        <v>3400</v>
      </c>
      <c r="G9" s="1">
        <v>15538</v>
      </c>
      <c r="H9" s="1">
        <v>5</v>
      </c>
      <c r="I9" s="1">
        <v>3.94</v>
      </c>
      <c r="J9" s="1">
        <v>0</v>
      </c>
      <c r="K9" s="1">
        <v>0.31</v>
      </c>
      <c r="L9" s="1">
        <v>0</v>
      </c>
      <c r="M9" s="1">
        <v>0</v>
      </c>
      <c r="N9" s="1">
        <v>-15543.31</v>
      </c>
      <c r="O9" s="1">
        <v>412.35</v>
      </c>
      <c r="P9" s="1">
        <v>14700</v>
      </c>
      <c r="Q9" s="1" t="str">
        <f>"E021635187"</f>
        <v>E021635187</v>
      </c>
      <c r="R9" s="1" t="str">
        <f t="shared" si="0"/>
        <v>人民币</v>
      </c>
      <c r="S9" s="1" t="str">
        <f>"1361000569"</f>
        <v>1361000569</v>
      </c>
    </row>
    <row r="10" spans="1:19">
      <c r="A10" s="1" t="str">
        <f>"20161110"</f>
        <v>20161110</v>
      </c>
      <c r="B10" s="1" t="str">
        <f t="shared" si="5"/>
        <v>000667</v>
      </c>
      <c r="C10" s="1" t="str">
        <f t="shared" si="6"/>
        <v>美好置业</v>
      </c>
      <c r="D10" s="1" t="str">
        <f>"担保品卖出"</f>
        <v>担保品卖出</v>
      </c>
      <c r="E10" s="1">
        <v>3.95</v>
      </c>
      <c r="F10" s="1">
        <v>3000</v>
      </c>
      <c r="G10" s="1">
        <v>11850</v>
      </c>
      <c r="H10" s="1">
        <v>5</v>
      </c>
      <c r="I10" s="1">
        <v>3.94</v>
      </c>
      <c r="J10" s="1">
        <v>11.85</v>
      </c>
      <c r="K10" s="1">
        <v>0</v>
      </c>
      <c r="L10" s="1">
        <v>0</v>
      </c>
      <c r="M10" s="1">
        <v>0</v>
      </c>
      <c r="N10" s="1">
        <v>11833.15</v>
      </c>
      <c r="O10" s="1">
        <v>12245.5</v>
      </c>
      <c r="P10" s="1">
        <v>7000</v>
      </c>
      <c r="Q10" s="1" t="str">
        <f t="shared" si="7"/>
        <v>0602175409</v>
      </c>
      <c r="R10" s="1" t="str">
        <f t="shared" si="0"/>
        <v>人民币</v>
      </c>
      <c r="S10" s="1" t="str">
        <f>"T4000527"</f>
        <v>T4000527</v>
      </c>
    </row>
    <row r="11" spans="1:18">
      <c r="A11" s="1" t="str">
        <f t="shared" ref="A11:A13" si="8">"20161111"</f>
        <v>20161111</v>
      </c>
      <c r="B11" s="1" t="str">
        <f t="shared" si="5"/>
        <v>000667</v>
      </c>
      <c r="C11" s="1" t="str">
        <f t="shared" si="6"/>
        <v>美好置业</v>
      </c>
      <c r="D11" s="1" t="str">
        <f>"股息红利差异扣税"</f>
        <v>股息红利差异扣税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-7.5</v>
      </c>
      <c r="O11" s="1">
        <v>12238</v>
      </c>
      <c r="P11" s="1">
        <v>0</v>
      </c>
      <c r="Q11" s="1" t="str">
        <f t="shared" si="7"/>
        <v>0602175409</v>
      </c>
      <c r="R11" s="1" t="str">
        <f t="shared" si="0"/>
        <v>人民币</v>
      </c>
    </row>
    <row r="12" spans="1:19">
      <c r="A12" s="1" t="str">
        <f t="shared" si="8"/>
        <v>20161111</v>
      </c>
      <c r="B12" s="1" t="str">
        <f>"600066"</f>
        <v>600066</v>
      </c>
      <c r="C12" s="1" t="str">
        <f>"宇通客车"</f>
        <v>宇通客车</v>
      </c>
      <c r="D12" s="1" t="str">
        <f>"融资买入"</f>
        <v>融资买入</v>
      </c>
      <c r="E12" s="1">
        <v>20.1</v>
      </c>
      <c r="F12" s="1">
        <v>1000</v>
      </c>
      <c r="G12" s="1">
        <v>20100</v>
      </c>
      <c r="H12" s="1">
        <v>22.11</v>
      </c>
      <c r="I12" s="1">
        <v>20.73</v>
      </c>
      <c r="J12" s="1">
        <v>0</v>
      </c>
      <c r="K12" s="1">
        <v>0.4</v>
      </c>
      <c r="L12" s="1">
        <v>0</v>
      </c>
      <c r="M12" s="1">
        <v>0</v>
      </c>
      <c r="N12" s="1">
        <v>-20122.51</v>
      </c>
      <c r="O12" s="1">
        <v>-7884.51</v>
      </c>
      <c r="P12" s="1">
        <v>1500</v>
      </c>
      <c r="Q12" s="1" t="str">
        <f>"E021635187"</f>
        <v>E021635187</v>
      </c>
      <c r="R12" s="1" t="str">
        <f t="shared" si="0"/>
        <v>人民币</v>
      </c>
      <c r="S12" s="1" t="str">
        <f>"1361000929"</f>
        <v>1361000929</v>
      </c>
    </row>
    <row r="13" spans="1:19">
      <c r="A13" s="1" t="str">
        <f t="shared" si="8"/>
        <v>20161111</v>
      </c>
      <c r="D13" s="1" t="str">
        <f>"融资借入"</f>
        <v>融资借入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20122.51</v>
      </c>
      <c r="O13" s="1">
        <v>12238</v>
      </c>
      <c r="P13" s="1">
        <v>0</v>
      </c>
      <c r="R13" s="1" t="str">
        <f t="shared" si="0"/>
        <v>人民币</v>
      </c>
      <c r="S13" s="1" t="str">
        <f>"1361000929"</f>
        <v>1361000929</v>
      </c>
    </row>
    <row r="14" spans="1:18">
      <c r="A14" s="1" t="str">
        <f t="shared" ref="A14:A17" si="9">"20161115"</f>
        <v>20161115</v>
      </c>
      <c r="D14" s="1" t="str">
        <f>"证券转银行"</f>
        <v>证券转银行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-9000</v>
      </c>
      <c r="O14" s="1">
        <v>3238</v>
      </c>
      <c r="P14" s="1">
        <v>0</v>
      </c>
      <c r="R14" s="1" t="str">
        <f t="shared" si="0"/>
        <v>人民币</v>
      </c>
    </row>
    <row r="15" spans="1:19">
      <c r="A15" s="1" t="str">
        <f t="shared" si="9"/>
        <v>20161115</v>
      </c>
      <c r="B15" s="1" t="str">
        <f t="shared" ref="B15:B21" si="10">"600066"</f>
        <v>600066</v>
      </c>
      <c r="C15" s="1" t="str">
        <f t="shared" ref="C15:C21" si="11">"宇通客车"</f>
        <v>宇通客车</v>
      </c>
      <c r="D15" s="1" t="str">
        <f>"担保品卖出"</f>
        <v>担保品卖出</v>
      </c>
      <c r="E15" s="1">
        <v>20.37</v>
      </c>
      <c r="F15" s="1">
        <v>1000</v>
      </c>
      <c r="G15" s="1">
        <v>20370</v>
      </c>
      <c r="H15" s="1">
        <v>6.31</v>
      </c>
      <c r="I15" s="1">
        <v>4.91</v>
      </c>
      <c r="J15" s="1">
        <v>20.37</v>
      </c>
      <c r="K15" s="1">
        <v>0.41</v>
      </c>
      <c r="L15" s="1">
        <v>0</v>
      </c>
      <c r="M15" s="1">
        <v>0</v>
      </c>
      <c r="N15" s="1">
        <v>20342.91</v>
      </c>
      <c r="O15" s="1">
        <v>23580.91</v>
      </c>
      <c r="P15" s="1">
        <v>500</v>
      </c>
      <c r="Q15" s="1" t="str">
        <f t="shared" ref="Q15:Q21" si="12">"E021635187"</f>
        <v>E021635187</v>
      </c>
      <c r="R15" s="1" t="str">
        <f t="shared" si="0"/>
        <v>人民币</v>
      </c>
      <c r="S15" s="1" t="str">
        <f>"1361000402"</f>
        <v>1361000402</v>
      </c>
    </row>
    <row r="16" spans="1:19">
      <c r="A16" s="1" t="str">
        <f t="shared" si="9"/>
        <v>20161115</v>
      </c>
      <c r="D16" s="1" t="str">
        <f>"偿还融资负债本金"</f>
        <v>偿还融资负债本金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-20122.51</v>
      </c>
      <c r="O16" s="1">
        <v>3458.4</v>
      </c>
      <c r="P16" s="1">
        <v>0</v>
      </c>
      <c r="R16" s="1" t="str">
        <f t="shared" si="0"/>
        <v>人民币</v>
      </c>
      <c r="S16" s="1" t="str">
        <f>"1361000402"</f>
        <v>1361000402</v>
      </c>
    </row>
    <row r="17" spans="1:18">
      <c r="A17" s="1" t="str">
        <f t="shared" si="9"/>
        <v>20161115</v>
      </c>
      <c r="D17" s="1" t="str">
        <f>"偿还融资利息"</f>
        <v>偿还融资利息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-18.67</v>
      </c>
      <c r="O17" s="1">
        <v>3439.73</v>
      </c>
      <c r="P17" s="1">
        <v>0</v>
      </c>
      <c r="R17" s="1" t="str">
        <f t="shared" si="0"/>
        <v>人民币</v>
      </c>
    </row>
    <row r="18" spans="1:18">
      <c r="A18" s="1" t="str">
        <f>"20161116"</f>
        <v>20161116</v>
      </c>
      <c r="B18" s="1" t="str">
        <f t="shared" si="10"/>
        <v>600066</v>
      </c>
      <c r="C18" s="1" t="str">
        <f t="shared" si="11"/>
        <v>宇通客车</v>
      </c>
      <c r="D18" s="1" t="str">
        <f>"股息红利差异扣税"</f>
        <v>股息红利差异扣税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-75</v>
      </c>
      <c r="O18" s="1">
        <v>3364.73</v>
      </c>
      <c r="P18" s="1">
        <v>0</v>
      </c>
      <c r="Q18" s="1" t="str">
        <f t="shared" si="12"/>
        <v>E021635187</v>
      </c>
      <c r="R18" s="1" t="str">
        <f t="shared" si="0"/>
        <v>人民币</v>
      </c>
    </row>
    <row r="19" spans="1:18">
      <c r="A19" s="1" t="str">
        <f>"20161117"</f>
        <v>20161117</v>
      </c>
      <c r="D19" s="1" t="str">
        <f>"证券转银行"</f>
        <v>证券转银行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-3364.73</v>
      </c>
      <c r="O19" s="1">
        <v>0</v>
      </c>
      <c r="P19" s="1">
        <v>0</v>
      </c>
      <c r="R19" s="1" t="str">
        <f t="shared" si="0"/>
        <v>人民币</v>
      </c>
    </row>
    <row r="20" spans="1:19">
      <c r="A20" s="1" t="str">
        <f t="shared" ref="A20:A23" si="13">"20161124"</f>
        <v>20161124</v>
      </c>
      <c r="B20" s="1" t="str">
        <f t="shared" si="10"/>
        <v>600066</v>
      </c>
      <c r="C20" s="1" t="str">
        <f t="shared" si="11"/>
        <v>宇通客车</v>
      </c>
      <c r="D20" s="1" t="str">
        <f>"融资买入"</f>
        <v>融资买入</v>
      </c>
      <c r="E20" s="1">
        <v>20.55</v>
      </c>
      <c r="F20" s="1">
        <v>1500</v>
      </c>
      <c r="G20" s="1">
        <v>30825</v>
      </c>
      <c r="H20" s="1">
        <v>33.91</v>
      </c>
      <c r="I20" s="1">
        <v>31.79</v>
      </c>
      <c r="J20" s="1">
        <v>0</v>
      </c>
      <c r="K20" s="1">
        <v>0.62</v>
      </c>
      <c r="L20" s="1">
        <v>0</v>
      </c>
      <c r="M20" s="1">
        <v>0</v>
      </c>
      <c r="N20" s="1">
        <v>-30859.53</v>
      </c>
      <c r="O20" s="1">
        <v>-30859.53</v>
      </c>
      <c r="P20" s="1">
        <v>2000</v>
      </c>
      <c r="Q20" s="1" t="str">
        <f t="shared" si="12"/>
        <v>E021635187</v>
      </c>
      <c r="R20" s="1" t="str">
        <f t="shared" si="0"/>
        <v>人民币</v>
      </c>
      <c r="S20" s="1" t="str">
        <f>"1361000479"</f>
        <v>1361000479</v>
      </c>
    </row>
    <row r="21" spans="1:19">
      <c r="A21" s="1" t="str">
        <f t="shared" si="13"/>
        <v>20161124</v>
      </c>
      <c r="B21" s="1" t="str">
        <f t="shared" si="10"/>
        <v>600066</v>
      </c>
      <c r="C21" s="1" t="str">
        <f t="shared" si="11"/>
        <v>宇通客车</v>
      </c>
      <c r="D21" s="1" t="str">
        <f t="shared" ref="D21:D25" si="14">"担保品卖出"</f>
        <v>担保品卖出</v>
      </c>
      <c r="E21" s="1">
        <v>20.78</v>
      </c>
      <c r="F21" s="1">
        <v>500</v>
      </c>
      <c r="G21" s="1">
        <v>10390</v>
      </c>
      <c r="H21" s="1">
        <v>5</v>
      </c>
      <c r="I21" s="1">
        <v>4.28</v>
      </c>
      <c r="J21" s="1">
        <v>10.39</v>
      </c>
      <c r="K21" s="1">
        <v>0.21</v>
      </c>
      <c r="L21" s="1">
        <v>0</v>
      </c>
      <c r="M21" s="1">
        <v>0</v>
      </c>
      <c r="N21" s="1">
        <v>10374.4</v>
      </c>
      <c r="O21" s="1">
        <v>-20485.13</v>
      </c>
      <c r="P21" s="1">
        <v>1500</v>
      </c>
      <c r="Q21" s="1" t="str">
        <f t="shared" si="12"/>
        <v>E021635187</v>
      </c>
      <c r="R21" s="1" t="str">
        <f t="shared" si="0"/>
        <v>人民币</v>
      </c>
      <c r="S21" s="1" t="str">
        <f>"1361000784"</f>
        <v>1361000784</v>
      </c>
    </row>
    <row r="22" spans="1:19">
      <c r="A22" s="1" t="str">
        <f t="shared" si="13"/>
        <v>20161124</v>
      </c>
      <c r="D22" s="1" t="str">
        <f>"融资借入"</f>
        <v>融资借入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30859.53</v>
      </c>
      <c r="O22" s="1">
        <v>10374.4</v>
      </c>
      <c r="P22" s="1">
        <v>0</v>
      </c>
      <c r="R22" s="1" t="str">
        <f t="shared" si="0"/>
        <v>人民币</v>
      </c>
      <c r="S22" s="1" t="str">
        <f>"1361000479"</f>
        <v>1361000479</v>
      </c>
    </row>
    <row r="23" spans="1:19">
      <c r="A23" s="1" t="str">
        <f t="shared" si="13"/>
        <v>20161124</v>
      </c>
      <c r="D23" s="1" t="str">
        <f>"偿还融资负债本金"</f>
        <v>偿还融资负债本金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-10348.13</v>
      </c>
      <c r="O23" s="1">
        <v>26.27</v>
      </c>
      <c r="P23" s="1">
        <v>0</v>
      </c>
      <c r="R23" s="1" t="str">
        <f t="shared" si="0"/>
        <v>人民币</v>
      </c>
      <c r="S23" s="1" t="str">
        <f>"1361000784"</f>
        <v>1361000784</v>
      </c>
    </row>
    <row r="24" spans="1:19">
      <c r="A24" s="1" t="str">
        <f t="shared" ref="A24:A27" si="15">"20161125"</f>
        <v>20161125</v>
      </c>
      <c r="B24" s="1" t="str">
        <f>"600575"</f>
        <v>600575</v>
      </c>
      <c r="C24" s="1" t="str">
        <f>"皖江物流"</f>
        <v>皖江物流</v>
      </c>
      <c r="D24" s="1" t="str">
        <f t="shared" si="14"/>
        <v>担保品卖出</v>
      </c>
      <c r="E24" s="1">
        <v>5.85</v>
      </c>
      <c r="F24" s="1">
        <v>3100</v>
      </c>
      <c r="G24" s="1">
        <v>18135</v>
      </c>
      <c r="H24" s="1">
        <v>5.62</v>
      </c>
      <c r="I24" s="1">
        <v>4.38</v>
      </c>
      <c r="J24" s="1">
        <v>18.14</v>
      </c>
      <c r="K24" s="1">
        <v>0.36</v>
      </c>
      <c r="L24" s="1">
        <v>0</v>
      </c>
      <c r="M24" s="1">
        <v>0</v>
      </c>
      <c r="N24" s="1">
        <v>18110.88</v>
      </c>
      <c r="O24" s="1">
        <v>18137.15</v>
      </c>
      <c r="P24" s="1">
        <v>11600</v>
      </c>
      <c r="Q24" s="1" t="str">
        <f t="shared" ref="Q24:Q28" si="16">"E021635187"</f>
        <v>E021635187</v>
      </c>
      <c r="R24" s="1" t="str">
        <f t="shared" si="0"/>
        <v>人民币</v>
      </c>
      <c r="S24" s="1" t="str">
        <f>"1361000201"</f>
        <v>1361000201</v>
      </c>
    </row>
    <row r="25" spans="1:19">
      <c r="A25" s="1" t="str">
        <f t="shared" si="15"/>
        <v>20161125</v>
      </c>
      <c r="B25" s="1" t="str">
        <f>"600066"</f>
        <v>600066</v>
      </c>
      <c r="C25" s="1" t="str">
        <f>"宇通客车"</f>
        <v>宇通客车</v>
      </c>
      <c r="D25" s="1" t="str">
        <f t="shared" si="14"/>
        <v>担保品卖出</v>
      </c>
      <c r="E25" s="1">
        <v>20.76</v>
      </c>
      <c r="F25" s="1">
        <v>1000</v>
      </c>
      <c r="G25" s="1">
        <v>20760</v>
      </c>
      <c r="H25" s="1">
        <v>6.44</v>
      </c>
      <c r="I25" s="1">
        <v>5.01</v>
      </c>
      <c r="J25" s="1">
        <v>20.76</v>
      </c>
      <c r="K25" s="1">
        <v>0.42</v>
      </c>
      <c r="L25" s="1">
        <v>0</v>
      </c>
      <c r="M25" s="1">
        <v>0</v>
      </c>
      <c r="N25" s="1">
        <v>20732.38</v>
      </c>
      <c r="O25" s="1">
        <v>38869.53</v>
      </c>
      <c r="P25" s="1">
        <v>500</v>
      </c>
      <c r="Q25" s="1" t="str">
        <f t="shared" si="16"/>
        <v>E021635187</v>
      </c>
      <c r="R25" s="1" t="str">
        <f t="shared" si="0"/>
        <v>人民币</v>
      </c>
      <c r="S25" s="1" t="str">
        <f>"1361000215"</f>
        <v>1361000215</v>
      </c>
    </row>
    <row r="26" spans="1:18">
      <c r="A26" s="1" t="str">
        <f t="shared" si="15"/>
        <v>20161125</v>
      </c>
      <c r="D26" s="1" t="str">
        <f>"偿还融资利息"</f>
        <v>偿还融资利息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-4.76</v>
      </c>
      <c r="O26" s="1">
        <v>38864.77</v>
      </c>
      <c r="P26" s="1">
        <v>0</v>
      </c>
      <c r="R26" s="1" t="str">
        <f t="shared" si="0"/>
        <v>人民币</v>
      </c>
    </row>
    <row r="27" spans="1:19">
      <c r="A27" s="1" t="str">
        <f t="shared" si="15"/>
        <v>20161125</v>
      </c>
      <c r="D27" s="1" t="str">
        <f>"偿还融资负债本金"</f>
        <v>偿还融资负债本金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-20511.4</v>
      </c>
      <c r="O27" s="1">
        <v>18353.37</v>
      </c>
      <c r="P27" s="1">
        <v>0</v>
      </c>
      <c r="R27" s="1" t="str">
        <f t="shared" si="0"/>
        <v>人民币</v>
      </c>
      <c r="S27" s="1" t="str">
        <f>"1361000215"</f>
        <v>1361000215</v>
      </c>
    </row>
    <row r="28" spans="1:19">
      <c r="A28" s="1" t="str">
        <f>"20161201"</f>
        <v>20161201</v>
      </c>
      <c r="B28" s="1" t="str">
        <f>"601000"</f>
        <v>601000</v>
      </c>
      <c r="C28" s="1" t="str">
        <f>"唐山港"</f>
        <v>唐山港</v>
      </c>
      <c r="D28" s="1" t="str">
        <f>"融资买入"</f>
        <v>融资买入</v>
      </c>
      <c r="E28" s="1">
        <v>4.36</v>
      </c>
      <c r="F28" s="1">
        <v>10000</v>
      </c>
      <c r="G28" s="1">
        <v>43600</v>
      </c>
      <c r="H28" s="1">
        <v>47.96</v>
      </c>
      <c r="I28" s="1">
        <v>44.96</v>
      </c>
      <c r="J28" s="1">
        <v>0</v>
      </c>
      <c r="K28" s="1">
        <v>0.87</v>
      </c>
      <c r="L28" s="1">
        <v>0</v>
      </c>
      <c r="M28" s="1">
        <v>0</v>
      </c>
      <c r="N28" s="1">
        <v>-43648.83</v>
      </c>
      <c r="O28" s="1">
        <v>-25295.46</v>
      </c>
      <c r="P28" s="1">
        <v>10000</v>
      </c>
      <c r="Q28" s="1" t="str">
        <f t="shared" si="16"/>
        <v>E021635187</v>
      </c>
      <c r="R28" s="1" t="str">
        <f t="shared" si="0"/>
        <v>人民币</v>
      </c>
      <c r="S28" s="1" t="str">
        <f>"1361000385"</f>
        <v>1361000385</v>
      </c>
    </row>
    <row r="29" spans="1:19">
      <c r="A29" s="1" t="str">
        <f>"20161201"</f>
        <v>20161201</v>
      </c>
      <c r="D29" s="1" t="str">
        <f>"融资借入"</f>
        <v>融资借入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43648.83</v>
      </c>
      <c r="O29" s="1">
        <v>18353.37</v>
      </c>
      <c r="P29" s="1">
        <v>0</v>
      </c>
      <c r="R29" s="1" t="str">
        <f t="shared" si="0"/>
        <v>人民币</v>
      </c>
      <c r="S29" s="1" t="str">
        <f>"1361000385"</f>
        <v>1361000385</v>
      </c>
    </row>
    <row r="30" spans="1:19">
      <c r="A30" s="1" t="str">
        <f>"20161205"</f>
        <v>20161205</v>
      </c>
      <c r="B30" s="1" t="str">
        <f>"510300"</f>
        <v>510300</v>
      </c>
      <c r="C30" s="1" t="str">
        <f>"300ETF"</f>
        <v>300ETF</v>
      </c>
      <c r="D30" s="1" t="str">
        <f>"担保品买入"</f>
        <v>担保品买入</v>
      </c>
      <c r="E30" s="1">
        <v>3.527</v>
      </c>
      <c r="F30" s="1">
        <v>5100</v>
      </c>
      <c r="G30" s="1">
        <v>17987.7</v>
      </c>
      <c r="H30" s="1">
        <v>5.58</v>
      </c>
      <c r="I30" s="1">
        <v>4.77</v>
      </c>
      <c r="J30" s="1">
        <v>0</v>
      </c>
      <c r="K30" s="1">
        <v>0</v>
      </c>
      <c r="L30" s="1">
        <v>0</v>
      </c>
      <c r="M30" s="1">
        <v>0</v>
      </c>
      <c r="N30" s="1">
        <v>-17993.28</v>
      </c>
      <c r="O30" s="1">
        <v>360.09</v>
      </c>
      <c r="P30" s="1">
        <v>5100</v>
      </c>
      <c r="Q30" s="1" t="str">
        <f t="shared" ref="Q30:Q33" si="17">"E021635187"</f>
        <v>E021635187</v>
      </c>
      <c r="R30" s="1" t="str">
        <f t="shared" si="0"/>
        <v>人民币</v>
      </c>
      <c r="S30" s="1" t="str">
        <f>"1361000710"</f>
        <v>1361000710</v>
      </c>
    </row>
    <row r="31" spans="1:19">
      <c r="A31" s="1" t="str">
        <f>"20161207"</f>
        <v>20161207</v>
      </c>
      <c r="B31" s="1" t="str">
        <f>"510300"</f>
        <v>510300</v>
      </c>
      <c r="C31" s="1" t="str">
        <f>"300ETF"</f>
        <v>300ETF</v>
      </c>
      <c r="D31" s="1" t="str">
        <f>"担保品卖出"</f>
        <v>担保品卖出</v>
      </c>
      <c r="E31" s="1">
        <v>3.51</v>
      </c>
      <c r="F31" s="1">
        <v>5100</v>
      </c>
      <c r="G31" s="1">
        <v>17900</v>
      </c>
      <c r="H31" s="1">
        <v>5.55</v>
      </c>
      <c r="I31" s="1">
        <v>4.74</v>
      </c>
      <c r="J31" s="1">
        <v>0</v>
      </c>
      <c r="K31" s="1">
        <v>0</v>
      </c>
      <c r="L31" s="1">
        <v>0</v>
      </c>
      <c r="M31" s="1">
        <v>0</v>
      </c>
      <c r="N31" s="1">
        <v>17894.45</v>
      </c>
      <c r="O31" s="1">
        <v>18254.54</v>
      </c>
      <c r="P31" s="1">
        <v>0</v>
      </c>
      <c r="Q31" s="1" t="str">
        <f t="shared" si="17"/>
        <v>E021635187</v>
      </c>
      <c r="R31" s="1" t="str">
        <f t="shared" si="0"/>
        <v>人民币</v>
      </c>
      <c r="S31" s="1" t="str">
        <f>"1361000150"</f>
        <v>1361000150</v>
      </c>
    </row>
    <row r="32" spans="1:19">
      <c r="A32" s="1" t="str">
        <f>"20161215"</f>
        <v>20161215</v>
      </c>
      <c r="B32" s="1" t="str">
        <f>"511990"</f>
        <v>511990</v>
      </c>
      <c r="C32" s="1" t="str">
        <f>"华宝添益"</f>
        <v>华宝添益</v>
      </c>
      <c r="D32" s="1" t="str">
        <f>"担保品买入"</f>
        <v>担保品买入</v>
      </c>
      <c r="E32" s="1">
        <v>99.859</v>
      </c>
      <c r="F32" s="1">
        <v>100</v>
      </c>
      <c r="G32" s="1">
        <v>9985.9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-9985.9</v>
      </c>
      <c r="O32" s="1">
        <v>8268.64</v>
      </c>
      <c r="P32" s="1">
        <v>100</v>
      </c>
      <c r="Q32" s="1" t="str">
        <f t="shared" si="17"/>
        <v>E021635187</v>
      </c>
      <c r="R32" s="1" t="str">
        <f t="shared" si="0"/>
        <v>人民币</v>
      </c>
      <c r="S32" s="1" t="str">
        <f>"1361000203"</f>
        <v>1361000203</v>
      </c>
    </row>
    <row r="33" spans="1:19">
      <c r="A33" s="1" t="str">
        <f t="shared" ref="A33:A35" si="18">"20161219"</f>
        <v>20161219</v>
      </c>
      <c r="B33" s="1" t="str">
        <f>"600575"</f>
        <v>600575</v>
      </c>
      <c r="C33" s="1" t="str">
        <f>"皖江物流"</f>
        <v>皖江物流</v>
      </c>
      <c r="D33" s="1" t="str">
        <f>"担保品卖出"</f>
        <v>担保品卖出</v>
      </c>
      <c r="E33" s="1">
        <v>5.76</v>
      </c>
      <c r="F33" s="1">
        <v>11600</v>
      </c>
      <c r="G33" s="1">
        <v>66816</v>
      </c>
      <c r="H33" s="1">
        <v>20.71</v>
      </c>
      <c r="I33" s="1">
        <v>16.12</v>
      </c>
      <c r="J33" s="1">
        <v>66.82</v>
      </c>
      <c r="K33" s="1">
        <v>1.34</v>
      </c>
      <c r="L33" s="1">
        <v>0</v>
      </c>
      <c r="M33" s="1">
        <v>0</v>
      </c>
      <c r="N33" s="1">
        <v>66727.13</v>
      </c>
      <c r="O33" s="1">
        <v>74995.77</v>
      </c>
      <c r="P33" s="1">
        <v>0</v>
      </c>
      <c r="Q33" s="1" t="str">
        <f t="shared" si="17"/>
        <v>E021635187</v>
      </c>
      <c r="R33" s="1" t="str">
        <f t="shared" si="0"/>
        <v>人民币</v>
      </c>
      <c r="S33" s="1" t="str">
        <f>"1361000268"</f>
        <v>1361000268</v>
      </c>
    </row>
    <row r="34" spans="1:18">
      <c r="A34" s="1" t="str">
        <f t="shared" si="18"/>
        <v>20161219</v>
      </c>
      <c r="D34" s="1" t="str">
        <f>"偿还融资负债本金"</f>
        <v>偿还融资负债本金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-43648.83</v>
      </c>
      <c r="O34" s="1">
        <v>31164.75</v>
      </c>
      <c r="P34" s="1">
        <v>0</v>
      </c>
      <c r="R34" s="1" t="str">
        <f t="shared" si="0"/>
        <v>人民币</v>
      </c>
    </row>
    <row r="35" spans="1:18">
      <c r="A35" s="1" t="str">
        <f t="shared" si="18"/>
        <v>20161219</v>
      </c>
      <c r="D35" s="1" t="str">
        <f>"偿还融资利息"</f>
        <v>偿还融资利息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-182.19</v>
      </c>
      <c r="O35" s="1">
        <v>74813.58</v>
      </c>
      <c r="P35" s="1">
        <v>0</v>
      </c>
      <c r="R35" s="1" t="str">
        <f t="shared" si="0"/>
        <v>人民币</v>
      </c>
    </row>
    <row r="36" spans="1:18">
      <c r="A36" s="1" t="str">
        <f>"20161220"</f>
        <v>20161220</v>
      </c>
      <c r="D36" s="1" t="str">
        <f>"利息归本"</f>
        <v>利息归本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5.51</v>
      </c>
      <c r="O36" s="1">
        <v>31170.26</v>
      </c>
      <c r="P36" s="1">
        <v>0</v>
      </c>
      <c r="R36" s="1" t="str">
        <f t="shared" si="0"/>
        <v>人民币</v>
      </c>
    </row>
    <row r="37" spans="1:18">
      <c r="A37" s="1" t="str">
        <f>"20161228"</f>
        <v>20161228</v>
      </c>
      <c r="D37" s="1" t="str">
        <f>"证券转银行"</f>
        <v>证券转银行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-31000</v>
      </c>
      <c r="O37" s="1">
        <v>170.26</v>
      </c>
      <c r="P37" s="1">
        <v>0</v>
      </c>
      <c r="R37" s="1" t="str">
        <f t="shared" si="0"/>
        <v>人民币</v>
      </c>
    </row>
    <row r="38" spans="1:18">
      <c r="A38" s="1" t="str">
        <f>"20161229"</f>
        <v>20161229</v>
      </c>
      <c r="D38" s="1" t="str">
        <f>"银行转证券"</f>
        <v>银行转证券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10000</v>
      </c>
      <c r="O38" s="1">
        <v>10170.26</v>
      </c>
      <c r="P38" s="1">
        <v>0</v>
      </c>
      <c r="R38" s="1" t="str">
        <f t="shared" si="0"/>
        <v>人民币</v>
      </c>
    </row>
    <row r="39" spans="1:19">
      <c r="A39" s="1" t="str">
        <f>"20161230"</f>
        <v>20161230</v>
      </c>
      <c r="B39" s="1" t="str">
        <f>"511990"</f>
        <v>511990</v>
      </c>
      <c r="C39" s="1" t="str">
        <f>"华宝添益"</f>
        <v>华宝添益</v>
      </c>
      <c r="D39" s="1" t="str">
        <f>"担保品卖出"</f>
        <v>担保品卖出</v>
      </c>
      <c r="E39" s="1">
        <v>100.009</v>
      </c>
      <c r="F39" s="1">
        <v>100</v>
      </c>
      <c r="G39" s="1">
        <v>10000.9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10000.9</v>
      </c>
      <c r="O39" s="1">
        <v>20171.16</v>
      </c>
      <c r="P39" s="1">
        <v>0</v>
      </c>
      <c r="Q39" s="1" t="str">
        <f>"E021635187"</f>
        <v>E021635187</v>
      </c>
      <c r="R39" s="1" t="str">
        <f t="shared" si="0"/>
        <v>人民币</v>
      </c>
      <c r="S39" s="1" t="str">
        <f>"1361000055"</f>
        <v>1361000055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6"/>
  <sheetViews>
    <sheetView topLeftCell="A13" workbookViewId="0">
      <selection activeCell="A27" sqref="A27"/>
    </sheetView>
  </sheetViews>
  <sheetFormatPr defaultColWidth="9" defaultRowHeight="13.5"/>
  <cols>
    <col min="1" max="16384" width="9" style="1"/>
  </cols>
  <sheetData>
    <row r="1" spans="1:19">
      <c r="A1" s="1" t="str">
        <f>"交割日期"</f>
        <v>交割日期</v>
      </c>
      <c r="B1" s="1" t="str">
        <f>"证券代码"</f>
        <v>证券代码</v>
      </c>
      <c r="C1" s="1" t="str">
        <f>"证券名称"</f>
        <v>证券名称</v>
      </c>
      <c r="D1" s="1" t="str">
        <f>"业务名称"</f>
        <v>业务名称</v>
      </c>
      <c r="E1" s="1" t="str">
        <f>"成交价格"</f>
        <v>成交价格</v>
      </c>
      <c r="F1" s="1" t="str">
        <f>"成交数量"</f>
        <v>成交数量</v>
      </c>
      <c r="G1" s="1" t="str">
        <f>"成交金额"</f>
        <v>成交金额</v>
      </c>
      <c r="H1" s="1" t="str">
        <f>"手续费"</f>
        <v>手续费</v>
      </c>
      <c r="I1" s="1" t="str">
        <f>"净佣金"</f>
        <v>净佣金</v>
      </c>
      <c r="J1" s="1" t="str">
        <f>"印花税"</f>
        <v>印花税</v>
      </c>
      <c r="K1" s="1" t="str">
        <f>"过户费"</f>
        <v>过户费</v>
      </c>
      <c r="L1" s="1" t="str">
        <f>"结算费"</f>
        <v>结算费</v>
      </c>
      <c r="M1" s="1" t="str">
        <f>"其他费"</f>
        <v>其他费</v>
      </c>
      <c r="N1" s="1" t="str">
        <f>"发生金额"</f>
        <v>发生金额</v>
      </c>
      <c r="O1" s="1" t="str">
        <f>"剩余金额"</f>
        <v>剩余金额</v>
      </c>
      <c r="P1" s="1" t="str">
        <f>"证券数量"</f>
        <v>证券数量</v>
      </c>
      <c r="Q1" s="1" t="str">
        <f>"股东代码"</f>
        <v>股东代码</v>
      </c>
      <c r="R1" s="1" t="str">
        <f>"币种"</f>
        <v>币种</v>
      </c>
      <c r="S1" s="1" t="str">
        <f>"成交编号"</f>
        <v>成交编号</v>
      </c>
    </row>
    <row r="2" spans="1:18">
      <c r="A2" s="1" t="str">
        <f>"20170103"</f>
        <v>20170103</v>
      </c>
      <c r="B2" s="1" t="str">
        <f>"511990"</f>
        <v>511990</v>
      </c>
      <c r="C2" s="1" t="str">
        <f>"华宝添益"</f>
        <v>华宝添益</v>
      </c>
      <c r="D2" s="1" t="str">
        <f>"ETF 申购退款"</f>
        <v>ETF 申购退款</v>
      </c>
      <c r="E2" s="1">
        <v>0</v>
      </c>
      <c r="F2" s="1">
        <v>0</v>
      </c>
      <c r="G2" s="1">
        <v>11.19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11.19</v>
      </c>
      <c r="O2" s="1">
        <v>20182.35</v>
      </c>
      <c r="P2" s="1">
        <v>0</v>
      </c>
      <c r="Q2" s="1" t="str">
        <f t="shared" ref="Q2:Q6" si="0">"E021635187"</f>
        <v>E021635187</v>
      </c>
      <c r="R2" s="1" t="str">
        <f t="shared" ref="R2:R26" si="1">"人民币"</f>
        <v>人民币</v>
      </c>
    </row>
    <row r="3" spans="1:19">
      <c r="A3" s="1" t="str">
        <f>"20170103"</f>
        <v>20170103</v>
      </c>
      <c r="B3" s="1" t="str">
        <f>"000667"</f>
        <v>000667</v>
      </c>
      <c r="C3" s="1" t="str">
        <f>"美好置业"</f>
        <v>美好置业</v>
      </c>
      <c r="D3" s="1" t="str">
        <f>"担保品买入"</f>
        <v>担保品买入</v>
      </c>
      <c r="E3" s="1">
        <v>3.69</v>
      </c>
      <c r="F3" s="1">
        <v>3000</v>
      </c>
      <c r="G3" s="1">
        <v>11070</v>
      </c>
      <c r="H3" s="1">
        <v>5</v>
      </c>
      <c r="I3" s="1">
        <v>4.02</v>
      </c>
      <c r="J3" s="1">
        <v>0</v>
      </c>
      <c r="K3" s="1">
        <v>0</v>
      </c>
      <c r="L3" s="1">
        <v>0</v>
      </c>
      <c r="M3" s="1">
        <v>0</v>
      </c>
      <c r="N3" s="1">
        <v>-11075</v>
      </c>
      <c r="O3" s="1">
        <v>9107.35</v>
      </c>
      <c r="P3" s="1">
        <v>10000</v>
      </c>
      <c r="Q3" s="1" t="str">
        <f>"0602175409"</f>
        <v>0602175409</v>
      </c>
      <c r="R3" s="1" t="str">
        <f t="shared" si="1"/>
        <v>人民币</v>
      </c>
      <c r="S3" s="1" t="str">
        <f>"T4000108"</f>
        <v>T4000108</v>
      </c>
    </row>
    <row r="4" spans="1:19">
      <c r="A4" s="1" t="str">
        <f>"20170105"</f>
        <v>20170105</v>
      </c>
      <c r="B4" s="1" t="str">
        <f>"600066"</f>
        <v>600066</v>
      </c>
      <c r="C4" s="1" t="str">
        <f>"宇通客车"</f>
        <v>宇通客车</v>
      </c>
      <c r="D4" s="1" t="str">
        <f>"融资买入"</f>
        <v>融资买入</v>
      </c>
      <c r="E4" s="1">
        <v>19.56</v>
      </c>
      <c r="F4" s="1">
        <v>1000</v>
      </c>
      <c r="G4" s="1">
        <v>19560</v>
      </c>
      <c r="H4" s="1">
        <v>21.52</v>
      </c>
      <c r="I4" s="1">
        <v>20.18</v>
      </c>
      <c r="J4" s="1">
        <v>0</v>
      </c>
      <c r="K4" s="1">
        <v>0.39</v>
      </c>
      <c r="L4" s="1">
        <v>0</v>
      </c>
      <c r="M4" s="1">
        <v>0</v>
      </c>
      <c r="N4" s="1">
        <v>-19581.91</v>
      </c>
      <c r="O4" s="1">
        <v>-10474.56</v>
      </c>
      <c r="P4" s="1">
        <v>1500</v>
      </c>
      <c r="Q4" s="1" t="str">
        <f t="shared" si="0"/>
        <v>E021635187</v>
      </c>
      <c r="R4" s="1" t="str">
        <f t="shared" si="1"/>
        <v>人民币</v>
      </c>
      <c r="S4" s="1" t="str">
        <f>"1361001212"</f>
        <v>1361001212</v>
      </c>
    </row>
    <row r="5" spans="1:19">
      <c r="A5" s="1" t="str">
        <f>"20170105"</f>
        <v>20170105</v>
      </c>
      <c r="D5" s="1" t="str">
        <f>"融资借入"</f>
        <v>融资借入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19581.91</v>
      </c>
      <c r="O5" s="1">
        <v>9107.35</v>
      </c>
      <c r="P5" s="1">
        <v>0</v>
      </c>
      <c r="R5" s="1" t="str">
        <f t="shared" si="1"/>
        <v>人民币</v>
      </c>
      <c r="S5" s="1" t="str">
        <f>"1361001212"</f>
        <v>1361001212</v>
      </c>
    </row>
    <row r="6" spans="1:19">
      <c r="A6" s="1" t="str">
        <f t="shared" ref="A6:A9" si="2">"20170109"</f>
        <v>20170109</v>
      </c>
      <c r="B6" s="1" t="str">
        <f>"600066"</f>
        <v>600066</v>
      </c>
      <c r="C6" s="1" t="str">
        <f>"宇通客车"</f>
        <v>宇通客车</v>
      </c>
      <c r="D6" s="1" t="str">
        <f>"担保品卖出"</f>
        <v>担保品卖出</v>
      </c>
      <c r="E6" s="1">
        <v>19.51</v>
      </c>
      <c r="F6" s="1">
        <v>1000</v>
      </c>
      <c r="G6" s="1">
        <v>19510</v>
      </c>
      <c r="H6" s="1">
        <v>6.05</v>
      </c>
      <c r="I6" s="1">
        <v>4.71</v>
      </c>
      <c r="J6" s="1">
        <v>19.51</v>
      </c>
      <c r="K6" s="1">
        <v>0.39</v>
      </c>
      <c r="L6" s="1">
        <v>0</v>
      </c>
      <c r="M6" s="1">
        <v>0</v>
      </c>
      <c r="N6" s="1">
        <v>19484.05</v>
      </c>
      <c r="O6" s="1">
        <v>28591.4</v>
      </c>
      <c r="P6" s="1">
        <v>500</v>
      </c>
      <c r="Q6" s="1" t="str">
        <f t="shared" si="0"/>
        <v>E021635187</v>
      </c>
      <c r="R6" s="1" t="str">
        <f t="shared" si="1"/>
        <v>人民币</v>
      </c>
      <c r="S6" s="1" t="str">
        <f>"1361000190"</f>
        <v>1361000190</v>
      </c>
    </row>
    <row r="7" spans="1:18">
      <c r="A7" s="1" t="str">
        <f t="shared" si="2"/>
        <v>20170109</v>
      </c>
      <c r="D7" s="1" t="str">
        <f>"偿还融资负债本金"</f>
        <v>偿还融资负债本金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-150.34</v>
      </c>
      <c r="O7" s="1">
        <v>28422.9</v>
      </c>
      <c r="P7" s="1">
        <v>0</v>
      </c>
      <c r="R7" s="1" t="str">
        <f t="shared" si="1"/>
        <v>人民币</v>
      </c>
    </row>
    <row r="8" spans="1:18">
      <c r="A8" s="1" t="str">
        <f t="shared" si="2"/>
        <v>20170109</v>
      </c>
      <c r="D8" s="1" t="str">
        <f>"偿还融资利息"</f>
        <v>偿还融资利息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-18.16</v>
      </c>
      <c r="O8" s="1">
        <v>28573.24</v>
      </c>
      <c r="P8" s="1">
        <v>0</v>
      </c>
      <c r="R8" s="1" t="str">
        <f t="shared" si="1"/>
        <v>人民币</v>
      </c>
    </row>
    <row r="9" spans="1:19">
      <c r="A9" s="1" t="str">
        <f t="shared" si="2"/>
        <v>20170109</v>
      </c>
      <c r="D9" s="1" t="str">
        <f>"偿还融资负债本金"</f>
        <v>偿还融资负债本金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-19431.57</v>
      </c>
      <c r="O9" s="1">
        <v>8991.33</v>
      </c>
      <c r="P9" s="1">
        <v>0</v>
      </c>
      <c r="R9" s="1" t="str">
        <f t="shared" si="1"/>
        <v>人民币</v>
      </c>
      <c r="S9" s="1" t="str">
        <f>"1361000190"</f>
        <v>1361000190</v>
      </c>
    </row>
    <row r="10" spans="1:19">
      <c r="A10" s="1" t="str">
        <f>"20170214"</f>
        <v>20170214</v>
      </c>
      <c r="B10" s="1" t="str">
        <f t="shared" ref="B10:B12" si="3">"000667"</f>
        <v>000667</v>
      </c>
      <c r="C10" s="1" t="str">
        <f t="shared" ref="C10:C12" si="4">"美好置业"</f>
        <v>美好置业</v>
      </c>
      <c r="D10" s="1" t="str">
        <f t="shared" ref="D10:D15" si="5">"担保品卖出"</f>
        <v>担保品卖出</v>
      </c>
      <c r="E10" s="1">
        <v>3.76</v>
      </c>
      <c r="F10" s="1">
        <v>3000</v>
      </c>
      <c r="G10" s="1">
        <v>11280</v>
      </c>
      <c r="H10" s="1">
        <v>5</v>
      </c>
      <c r="I10" s="1">
        <v>3.99</v>
      </c>
      <c r="J10" s="1">
        <v>11.28</v>
      </c>
      <c r="K10" s="1">
        <v>0</v>
      </c>
      <c r="L10" s="1">
        <v>0</v>
      </c>
      <c r="M10" s="1">
        <v>0</v>
      </c>
      <c r="N10" s="1">
        <v>11263.72</v>
      </c>
      <c r="O10" s="1">
        <v>20255.05</v>
      </c>
      <c r="P10" s="1">
        <v>7000</v>
      </c>
      <c r="Q10" s="1" t="str">
        <f t="shared" ref="Q10:Q12" si="6">"0602175409"</f>
        <v>0602175409</v>
      </c>
      <c r="R10" s="1" t="str">
        <f t="shared" si="1"/>
        <v>人民币</v>
      </c>
      <c r="S10" s="1" t="str">
        <f>"T4000185"</f>
        <v>T4000185</v>
      </c>
    </row>
    <row r="11" spans="1:18">
      <c r="A11" s="1" t="str">
        <f>"20170215"</f>
        <v>20170215</v>
      </c>
      <c r="B11" s="1" t="str">
        <f t="shared" si="3"/>
        <v>000667</v>
      </c>
      <c r="C11" s="1" t="str">
        <f t="shared" si="4"/>
        <v>美好置业</v>
      </c>
      <c r="D11" s="1" t="str">
        <f>"股息红利差异扣税"</f>
        <v>股息红利差异扣税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-2.5</v>
      </c>
      <c r="O11" s="1">
        <v>20252.55</v>
      </c>
      <c r="P11" s="1">
        <v>0</v>
      </c>
      <c r="Q11" s="1" t="str">
        <f t="shared" si="6"/>
        <v>0602175409</v>
      </c>
      <c r="R11" s="1" t="str">
        <f t="shared" si="1"/>
        <v>人民币</v>
      </c>
    </row>
    <row r="12" spans="1:19">
      <c r="A12" s="1" t="str">
        <f>"20170216"</f>
        <v>20170216</v>
      </c>
      <c r="B12" s="1" t="str">
        <f t="shared" si="3"/>
        <v>000667</v>
      </c>
      <c r="C12" s="1" t="str">
        <f t="shared" si="4"/>
        <v>美好置业</v>
      </c>
      <c r="D12" s="1" t="str">
        <f t="shared" ref="D12:D17" si="7">"担保品买入"</f>
        <v>担保品买入</v>
      </c>
      <c r="E12" s="1">
        <v>3.72</v>
      </c>
      <c r="F12" s="1">
        <v>3000</v>
      </c>
      <c r="G12" s="1">
        <v>11160</v>
      </c>
      <c r="H12" s="1">
        <v>5</v>
      </c>
      <c r="I12" s="1">
        <v>4.02</v>
      </c>
      <c r="J12" s="1">
        <v>0</v>
      </c>
      <c r="K12" s="1">
        <v>0</v>
      </c>
      <c r="L12" s="1">
        <v>0</v>
      </c>
      <c r="M12" s="1">
        <v>0</v>
      </c>
      <c r="N12" s="1">
        <v>-11165</v>
      </c>
      <c r="O12" s="1">
        <v>9087.55</v>
      </c>
      <c r="P12" s="1">
        <v>10000</v>
      </c>
      <c r="Q12" s="1" t="str">
        <f t="shared" si="6"/>
        <v>0602175409</v>
      </c>
      <c r="R12" s="1" t="str">
        <f t="shared" si="1"/>
        <v>人民币</v>
      </c>
      <c r="S12" s="1" t="str">
        <f>"T4000115"</f>
        <v>T4000115</v>
      </c>
    </row>
    <row r="13" spans="1:19">
      <c r="A13" s="1" t="str">
        <f>"20170216"</f>
        <v>20170216</v>
      </c>
      <c r="B13" s="1" t="str">
        <f>"601000"</f>
        <v>601000</v>
      </c>
      <c r="C13" s="1" t="str">
        <f>"唐山港"</f>
        <v>唐山港</v>
      </c>
      <c r="D13" s="1" t="str">
        <f t="shared" si="5"/>
        <v>担保品卖出</v>
      </c>
      <c r="E13" s="1">
        <v>4.48</v>
      </c>
      <c r="F13" s="1">
        <v>5000</v>
      </c>
      <c r="G13" s="1">
        <v>22400</v>
      </c>
      <c r="H13" s="1">
        <v>6.94</v>
      </c>
      <c r="I13" s="1">
        <v>5.4</v>
      </c>
      <c r="J13" s="1">
        <v>22.4</v>
      </c>
      <c r="K13" s="1">
        <v>0.45</v>
      </c>
      <c r="L13" s="1">
        <v>0</v>
      </c>
      <c r="M13" s="1">
        <v>0</v>
      </c>
      <c r="N13" s="1">
        <v>22370.21</v>
      </c>
      <c r="O13" s="1">
        <v>31457.76</v>
      </c>
      <c r="P13" s="1">
        <v>5000</v>
      </c>
      <c r="Q13" s="1" t="str">
        <f>"E021635187"</f>
        <v>E021635187</v>
      </c>
      <c r="R13" s="1" t="str">
        <f t="shared" si="1"/>
        <v>人民币</v>
      </c>
      <c r="S13" s="1" t="str">
        <f>"1361000446"</f>
        <v>1361000446</v>
      </c>
    </row>
    <row r="14" spans="1:19">
      <c r="A14" s="1" t="str">
        <f>"20170217"</f>
        <v>20170217</v>
      </c>
      <c r="B14" s="1" t="str">
        <f t="shared" ref="B14:B18" si="8">"000667"</f>
        <v>000667</v>
      </c>
      <c r="C14" s="1" t="str">
        <f t="shared" ref="C14:C18" si="9">"美好置业"</f>
        <v>美好置业</v>
      </c>
      <c r="D14" s="1" t="str">
        <f t="shared" si="5"/>
        <v>担保品卖出</v>
      </c>
      <c r="E14" s="1">
        <v>3.77</v>
      </c>
      <c r="F14" s="1">
        <v>3000</v>
      </c>
      <c r="G14" s="1">
        <v>11310</v>
      </c>
      <c r="H14" s="1">
        <v>5</v>
      </c>
      <c r="I14" s="1">
        <v>3.99</v>
      </c>
      <c r="J14" s="1">
        <v>11.31</v>
      </c>
      <c r="K14" s="1">
        <v>0</v>
      </c>
      <c r="L14" s="1">
        <v>0</v>
      </c>
      <c r="M14" s="1">
        <v>0</v>
      </c>
      <c r="N14" s="1">
        <v>11293.69</v>
      </c>
      <c r="O14" s="1">
        <v>42751.45</v>
      </c>
      <c r="P14" s="1">
        <v>7000</v>
      </c>
      <c r="Q14" s="1" t="str">
        <f t="shared" ref="Q14:Q24" si="10">"0602175409"</f>
        <v>0602175409</v>
      </c>
      <c r="R14" s="1" t="str">
        <f t="shared" si="1"/>
        <v>人民币</v>
      </c>
      <c r="S14" s="1" t="str">
        <f>"T4000199"</f>
        <v>T4000199</v>
      </c>
    </row>
    <row r="15" spans="1:19">
      <c r="A15" s="1" t="str">
        <f>"20170217"</f>
        <v>20170217</v>
      </c>
      <c r="B15" s="1" t="str">
        <f>"601000"</f>
        <v>601000</v>
      </c>
      <c r="C15" s="1" t="str">
        <f>"唐山港"</f>
        <v>唐山港</v>
      </c>
      <c r="D15" s="1" t="str">
        <f t="shared" si="5"/>
        <v>担保品卖出</v>
      </c>
      <c r="E15" s="1">
        <v>4.62</v>
      </c>
      <c r="F15" s="1">
        <v>5000</v>
      </c>
      <c r="G15" s="1">
        <v>23100</v>
      </c>
      <c r="H15" s="1">
        <v>7.16</v>
      </c>
      <c r="I15" s="1">
        <v>5.58</v>
      </c>
      <c r="J15" s="1">
        <v>23.1</v>
      </c>
      <c r="K15" s="1">
        <v>0.46</v>
      </c>
      <c r="L15" s="1">
        <v>0</v>
      </c>
      <c r="M15" s="1">
        <v>0</v>
      </c>
      <c r="N15" s="1">
        <v>23069.28</v>
      </c>
      <c r="O15" s="1">
        <v>65820.73</v>
      </c>
      <c r="P15" s="1">
        <v>0</v>
      </c>
      <c r="Q15" s="1" t="str">
        <f>"E021635187"</f>
        <v>E021635187</v>
      </c>
      <c r="R15" s="1" t="str">
        <f t="shared" si="1"/>
        <v>人民币</v>
      </c>
      <c r="S15" s="1" t="str">
        <f>"1361000282"</f>
        <v>1361000282</v>
      </c>
    </row>
    <row r="16" spans="1:19">
      <c r="A16" s="1" t="str">
        <f>"20170220"</f>
        <v>20170220</v>
      </c>
      <c r="B16" s="1" t="str">
        <f t="shared" ref="B16:B20" si="11">"002183"</f>
        <v>002183</v>
      </c>
      <c r="C16" s="1" t="str">
        <f t="shared" ref="C16:C20" si="12">"怡 亚 通"</f>
        <v>怡 亚 通</v>
      </c>
      <c r="D16" s="1" t="str">
        <f t="shared" si="7"/>
        <v>担保品买入</v>
      </c>
      <c r="E16" s="1">
        <v>10.7</v>
      </c>
      <c r="F16" s="1">
        <v>2000</v>
      </c>
      <c r="G16" s="1">
        <v>21400</v>
      </c>
      <c r="H16" s="1">
        <v>6.63</v>
      </c>
      <c r="I16" s="1">
        <v>4.73</v>
      </c>
      <c r="J16" s="1">
        <v>0</v>
      </c>
      <c r="K16" s="1">
        <v>0</v>
      </c>
      <c r="L16" s="1">
        <v>0</v>
      </c>
      <c r="M16" s="1">
        <v>0</v>
      </c>
      <c r="N16" s="1">
        <v>-21406.63</v>
      </c>
      <c r="O16" s="1">
        <v>44414.1</v>
      </c>
      <c r="P16" s="1">
        <v>2000</v>
      </c>
      <c r="Q16" s="1" t="str">
        <f t="shared" si="10"/>
        <v>0602175409</v>
      </c>
      <c r="R16" s="1" t="str">
        <f t="shared" si="1"/>
        <v>人民币</v>
      </c>
      <c r="S16" s="1" t="str">
        <f>"T4000335"</f>
        <v>T4000335</v>
      </c>
    </row>
    <row r="17" spans="1:19">
      <c r="A17" s="1" t="str">
        <f>"20170220"</f>
        <v>20170220</v>
      </c>
      <c r="B17" s="1" t="str">
        <f t="shared" si="8"/>
        <v>000667</v>
      </c>
      <c r="C17" s="1" t="str">
        <f t="shared" si="9"/>
        <v>美好置业</v>
      </c>
      <c r="D17" s="1" t="str">
        <f t="shared" si="7"/>
        <v>担保品买入</v>
      </c>
      <c r="E17" s="1">
        <v>3.73</v>
      </c>
      <c r="F17" s="1">
        <v>3000</v>
      </c>
      <c r="G17" s="1">
        <v>11190</v>
      </c>
      <c r="H17" s="1">
        <v>5</v>
      </c>
      <c r="I17" s="1">
        <v>4.02</v>
      </c>
      <c r="J17" s="1">
        <v>0</v>
      </c>
      <c r="K17" s="1">
        <v>0</v>
      </c>
      <c r="L17" s="1">
        <v>0</v>
      </c>
      <c r="M17" s="1">
        <v>0</v>
      </c>
      <c r="N17" s="1">
        <v>-11195</v>
      </c>
      <c r="O17" s="1">
        <v>33219.1</v>
      </c>
      <c r="P17" s="1">
        <v>10000</v>
      </c>
      <c r="Q17" s="1" t="str">
        <f t="shared" si="10"/>
        <v>0602175409</v>
      </c>
      <c r="R17" s="1" t="str">
        <f t="shared" si="1"/>
        <v>人民币</v>
      </c>
      <c r="S17" s="1" t="str">
        <f>"T4000346"</f>
        <v>T4000346</v>
      </c>
    </row>
    <row r="18" spans="1:19">
      <c r="A18" s="1" t="str">
        <f t="shared" ref="A18:A20" si="13">"20170223"</f>
        <v>20170223</v>
      </c>
      <c r="B18" s="1" t="str">
        <f t="shared" si="8"/>
        <v>000667</v>
      </c>
      <c r="C18" s="1" t="str">
        <f t="shared" si="9"/>
        <v>美好置业</v>
      </c>
      <c r="D18" s="1" t="str">
        <f t="shared" ref="D18:D22" si="14">"担保品卖出"</f>
        <v>担保品卖出</v>
      </c>
      <c r="E18" s="1">
        <v>3.8</v>
      </c>
      <c r="F18" s="1">
        <v>3000</v>
      </c>
      <c r="G18" s="1">
        <v>11400</v>
      </c>
      <c r="H18" s="1">
        <v>5</v>
      </c>
      <c r="I18" s="1">
        <v>3.98</v>
      </c>
      <c r="J18" s="1">
        <v>11.4</v>
      </c>
      <c r="K18" s="1">
        <v>0</v>
      </c>
      <c r="L18" s="1">
        <v>0</v>
      </c>
      <c r="M18" s="1">
        <v>0</v>
      </c>
      <c r="N18" s="1">
        <v>11383.6</v>
      </c>
      <c r="O18" s="1">
        <v>44602.7</v>
      </c>
      <c r="P18" s="1">
        <v>7000</v>
      </c>
      <c r="Q18" s="1" t="str">
        <f t="shared" si="10"/>
        <v>0602175409</v>
      </c>
      <c r="R18" s="1" t="str">
        <f t="shared" si="1"/>
        <v>人民币</v>
      </c>
      <c r="S18" s="1" t="str">
        <f>"T4000475"</f>
        <v>T4000475</v>
      </c>
    </row>
    <row r="19" spans="1:19">
      <c r="A19" s="1" t="str">
        <f t="shared" si="13"/>
        <v>20170223</v>
      </c>
      <c r="B19" s="1" t="str">
        <f t="shared" si="11"/>
        <v>002183</v>
      </c>
      <c r="C19" s="1" t="str">
        <f t="shared" si="12"/>
        <v>怡 亚 通</v>
      </c>
      <c r="D19" s="1" t="str">
        <f t="shared" si="14"/>
        <v>担保品卖出</v>
      </c>
      <c r="E19" s="1">
        <v>10.94</v>
      </c>
      <c r="F19" s="1">
        <v>2000</v>
      </c>
      <c r="G19" s="1">
        <v>21880</v>
      </c>
      <c r="H19" s="1">
        <v>6.78</v>
      </c>
      <c r="I19" s="1">
        <v>4.83</v>
      </c>
      <c r="J19" s="1">
        <v>21.88</v>
      </c>
      <c r="K19" s="1">
        <v>0</v>
      </c>
      <c r="L19" s="1">
        <v>0</v>
      </c>
      <c r="M19" s="1">
        <v>0</v>
      </c>
      <c r="N19" s="1">
        <v>21851.34</v>
      </c>
      <c r="O19" s="1">
        <v>66454.04</v>
      </c>
      <c r="P19" s="1">
        <v>0</v>
      </c>
      <c r="Q19" s="1" t="str">
        <f t="shared" si="10"/>
        <v>0602175409</v>
      </c>
      <c r="R19" s="1" t="str">
        <f t="shared" si="1"/>
        <v>人民币</v>
      </c>
      <c r="S19" s="1" t="str">
        <f>"T4000480"</f>
        <v>T4000480</v>
      </c>
    </row>
    <row r="20" spans="1:19">
      <c r="A20" s="1" t="str">
        <f t="shared" si="13"/>
        <v>20170223</v>
      </c>
      <c r="B20" s="1" t="str">
        <f t="shared" si="11"/>
        <v>002183</v>
      </c>
      <c r="C20" s="1" t="str">
        <f t="shared" si="12"/>
        <v>怡 亚 通</v>
      </c>
      <c r="D20" s="1" t="str">
        <f t="shared" ref="D20:D24" si="15">"担保品买入"</f>
        <v>担保品买入</v>
      </c>
      <c r="E20" s="1">
        <v>11.19</v>
      </c>
      <c r="F20" s="1">
        <v>1000</v>
      </c>
      <c r="G20" s="1">
        <v>11190</v>
      </c>
      <c r="H20" s="1">
        <v>5</v>
      </c>
      <c r="I20" s="1">
        <v>4.02</v>
      </c>
      <c r="J20" s="1">
        <v>0</v>
      </c>
      <c r="K20" s="1">
        <v>0</v>
      </c>
      <c r="L20" s="1">
        <v>0</v>
      </c>
      <c r="M20" s="1">
        <v>0</v>
      </c>
      <c r="N20" s="1">
        <v>-11195</v>
      </c>
      <c r="O20" s="1">
        <v>55259.04</v>
      </c>
      <c r="P20" s="1">
        <v>1000</v>
      </c>
      <c r="Q20" s="1" t="str">
        <f t="shared" si="10"/>
        <v>0602175409</v>
      </c>
      <c r="R20" s="1" t="str">
        <f t="shared" si="1"/>
        <v>人民币</v>
      </c>
      <c r="S20" s="1" t="str">
        <f>"T4001045"</f>
        <v>T4001045</v>
      </c>
    </row>
    <row r="21" spans="1:19">
      <c r="A21" s="1" t="str">
        <f>"20170224"</f>
        <v>20170224</v>
      </c>
      <c r="B21" s="1" t="str">
        <f>"000667"</f>
        <v>000667</v>
      </c>
      <c r="C21" s="1" t="str">
        <f>"美好置业"</f>
        <v>美好置业</v>
      </c>
      <c r="D21" s="1" t="str">
        <f t="shared" si="15"/>
        <v>担保品买入</v>
      </c>
      <c r="E21" s="1">
        <v>3.76</v>
      </c>
      <c r="F21" s="1">
        <v>3000</v>
      </c>
      <c r="G21" s="1">
        <v>11280</v>
      </c>
      <c r="H21" s="1">
        <v>5</v>
      </c>
      <c r="I21" s="1">
        <v>3.99</v>
      </c>
      <c r="J21" s="1">
        <v>0</v>
      </c>
      <c r="K21" s="1">
        <v>0</v>
      </c>
      <c r="L21" s="1">
        <v>0</v>
      </c>
      <c r="M21" s="1">
        <v>0</v>
      </c>
      <c r="N21" s="1">
        <v>-11285</v>
      </c>
      <c r="O21" s="1">
        <v>43974.04</v>
      </c>
      <c r="P21" s="1">
        <v>10000</v>
      </c>
      <c r="Q21" s="1" t="str">
        <f t="shared" si="10"/>
        <v>0602175409</v>
      </c>
      <c r="R21" s="1" t="str">
        <f t="shared" si="1"/>
        <v>人民币</v>
      </c>
      <c r="S21" s="1" t="str">
        <f>"T4000398"</f>
        <v>T4000398</v>
      </c>
    </row>
    <row r="22" spans="1:19">
      <c r="A22" s="1" t="str">
        <f>"20170224"</f>
        <v>20170224</v>
      </c>
      <c r="B22" s="1" t="str">
        <f>"002183"</f>
        <v>002183</v>
      </c>
      <c r="C22" s="1" t="str">
        <f>"怡 亚 通"</f>
        <v>怡 亚 通</v>
      </c>
      <c r="D22" s="1" t="str">
        <f t="shared" si="14"/>
        <v>担保品卖出</v>
      </c>
      <c r="E22" s="1">
        <v>11.14</v>
      </c>
      <c r="F22" s="1">
        <v>1000</v>
      </c>
      <c r="G22" s="1">
        <v>11140</v>
      </c>
      <c r="H22" s="1">
        <v>5</v>
      </c>
      <c r="I22" s="1">
        <v>4.02</v>
      </c>
      <c r="J22" s="1">
        <v>11.14</v>
      </c>
      <c r="K22" s="1">
        <v>0</v>
      </c>
      <c r="L22" s="1">
        <v>0</v>
      </c>
      <c r="M22" s="1">
        <v>0</v>
      </c>
      <c r="N22" s="1">
        <v>11123.86</v>
      </c>
      <c r="O22" s="1">
        <v>55097.9</v>
      </c>
      <c r="P22" s="1">
        <v>0</v>
      </c>
      <c r="Q22" s="1" t="str">
        <f t="shared" si="10"/>
        <v>0602175409</v>
      </c>
      <c r="R22" s="1" t="str">
        <f t="shared" si="1"/>
        <v>人民币</v>
      </c>
      <c r="S22" s="1" t="str">
        <f>"T4000425"</f>
        <v>T4000425</v>
      </c>
    </row>
    <row r="23" spans="1:19">
      <c r="A23" s="1" t="str">
        <f>"20170301"</f>
        <v>20170301</v>
      </c>
      <c r="B23" s="1" t="str">
        <f>"000601"</f>
        <v>000601</v>
      </c>
      <c r="C23" s="1" t="str">
        <f>"韶能股份"</f>
        <v>韶能股份</v>
      </c>
      <c r="D23" s="1" t="str">
        <f t="shared" si="15"/>
        <v>担保品买入</v>
      </c>
      <c r="E23" s="1">
        <v>8.25</v>
      </c>
      <c r="F23" s="1">
        <v>3000</v>
      </c>
      <c r="G23" s="1">
        <v>24750</v>
      </c>
      <c r="H23" s="1">
        <v>7.67</v>
      </c>
      <c r="I23" s="1">
        <v>5.47</v>
      </c>
      <c r="J23" s="1">
        <v>0</v>
      </c>
      <c r="K23" s="1">
        <v>0</v>
      </c>
      <c r="L23" s="1">
        <v>0</v>
      </c>
      <c r="M23" s="1">
        <v>0</v>
      </c>
      <c r="N23" s="1">
        <v>-24757.67</v>
      </c>
      <c r="O23" s="1">
        <v>30340.23</v>
      </c>
      <c r="P23" s="1">
        <v>3000</v>
      </c>
      <c r="Q23" s="1" t="str">
        <f t="shared" si="10"/>
        <v>0602175409</v>
      </c>
      <c r="R23" s="1" t="str">
        <f t="shared" si="1"/>
        <v>人民币</v>
      </c>
      <c r="S23" s="1" t="str">
        <f>"T4000121"</f>
        <v>T4000121</v>
      </c>
    </row>
    <row r="24" spans="1:19">
      <c r="A24" s="1" t="str">
        <f>"20170309"</f>
        <v>20170309</v>
      </c>
      <c r="B24" s="1" t="str">
        <f>"000601"</f>
        <v>000601</v>
      </c>
      <c r="C24" s="1" t="str">
        <f>"韶能股份"</f>
        <v>韶能股份</v>
      </c>
      <c r="D24" s="1" t="str">
        <f t="shared" si="15"/>
        <v>担保品买入</v>
      </c>
      <c r="E24" s="1">
        <v>8.38</v>
      </c>
      <c r="F24" s="1">
        <v>3000</v>
      </c>
      <c r="G24" s="1">
        <v>25140</v>
      </c>
      <c r="H24" s="1">
        <v>7.79</v>
      </c>
      <c r="I24" s="1">
        <v>5.57</v>
      </c>
      <c r="J24" s="1">
        <v>0</v>
      </c>
      <c r="K24" s="1">
        <v>0</v>
      </c>
      <c r="L24" s="1">
        <v>0</v>
      </c>
      <c r="M24" s="1">
        <v>0</v>
      </c>
      <c r="N24" s="1">
        <v>-25147.79</v>
      </c>
      <c r="O24" s="1">
        <v>5192.44</v>
      </c>
      <c r="P24" s="1">
        <v>6000</v>
      </c>
      <c r="Q24" s="1" t="str">
        <f t="shared" si="10"/>
        <v>0602175409</v>
      </c>
      <c r="R24" s="1" t="str">
        <f t="shared" si="1"/>
        <v>人民币</v>
      </c>
      <c r="S24" s="1" t="str">
        <f>"T4000218"</f>
        <v>T4000218</v>
      </c>
    </row>
    <row r="25" spans="1:18">
      <c r="A25" s="1" t="str">
        <f>"20170320"</f>
        <v>20170320</v>
      </c>
      <c r="D25" s="1" t="str">
        <f>"利息归本"</f>
        <v>利息归本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16.59</v>
      </c>
      <c r="O25" s="1">
        <v>5209.03</v>
      </c>
      <c r="P25" s="1">
        <v>0</v>
      </c>
      <c r="R25" s="1" t="str">
        <f t="shared" si="1"/>
        <v>人民币</v>
      </c>
    </row>
    <row r="26" spans="1:19">
      <c r="A26" s="1" t="str">
        <f>"20170330"</f>
        <v>20170330</v>
      </c>
      <c r="B26" s="1" t="str">
        <f>"000667"</f>
        <v>000667</v>
      </c>
      <c r="C26" s="1" t="str">
        <f>"美好置业"</f>
        <v>美好置业</v>
      </c>
      <c r="D26" s="1" t="str">
        <f>"担保品买入"</f>
        <v>担保品买入</v>
      </c>
      <c r="E26" s="1">
        <v>3.68</v>
      </c>
      <c r="F26" s="1">
        <v>1300</v>
      </c>
      <c r="G26" s="1">
        <v>4784</v>
      </c>
      <c r="H26" s="1">
        <v>5</v>
      </c>
      <c r="I26" s="1">
        <v>4.57</v>
      </c>
      <c r="J26" s="1">
        <v>0</v>
      </c>
      <c r="K26" s="1">
        <v>0</v>
      </c>
      <c r="L26" s="1">
        <v>0</v>
      </c>
      <c r="M26" s="1">
        <v>0</v>
      </c>
      <c r="N26" s="1">
        <v>-4789</v>
      </c>
      <c r="O26" s="1">
        <v>420.03</v>
      </c>
      <c r="P26" s="1">
        <v>11300</v>
      </c>
      <c r="Q26" s="1" t="str">
        <f>"0602175409"</f>
        <v>0602175409</v>
      </c>
      <c r="R26" s="1" t="str">
        <f t="shared" si="1"/>
        <v>人民币</v>
      </c>
      <c r="S26" s="1" t="str">
        <f>"T4000078"</f>
        <v>T4000078</v>
      </c>
    </row>
  </sheetData>
  <autoFilter ref="A1:S26">
    <extLst/>
  </autoFilter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0"/>
  <sheetViews>
    <sheetView topLeftCell="A8" workbookViewId="0">
      <selection activeCell="A2" sqref="A2:P30"/>
    </sheetView>
  </sheetViews>
  <sheetFormatPr defaultColWidth="9" defaultRowHeight="13.5"/>
  <cols>
    <col min="1" max="16384" width="9" style="1"/>
  </cols>
  <sheetData>
    <row r="1" spans="1:19">
      <c r="A1" s="1" t="str">
        <f>"交割日期"</f>
        <v>交割日期</v>
      </c>
      <c r="B1" s="1" t="str">
        <f>"证券代码"</f>
        <v>证券代码</v>
      </c>
      <c r="C1" s="1" t="str">
        <f>"证券名称"</f>
        <v>证券名称</v>
      </c>
      <c r="D1" s="1" t="str">
        <f>"业务名称"</f>
        <v>业务名称</v>
      </c>
      <c r="E1" s="1" t="str">
        <f>"成交价格"</f>
        <v>成交价格</v>
      </c>
      <c r="F1" s="1" t="str">
        <f>"成交数量"</f>
        <v>成交数量</v>
      </c>
      <c r="G1" s="1" t="str">
        <f>"成交金额"</f>
        <v>成交金额</v>
      </c>
      <c r="H1" s="1" t="str">
        <f>"手续费"</f>
        <v>手续费</v>
      </c>
      <c r="I1" s="1" t="str">
        <f>"净佣金"</f>
        <v>净佣金</v>
      </c>
      <c r="J1" s="1" t="str">
        <f>"印花税"</f>
        <v>印花税</v>
      </c>
      <c r="K1" s="1" t="str">
        <f>"过户费"</f>
        <v>过户费</v>
      </c>
      <c r="L1" s="1" t="str">
        <f>"结算费"</f>
        <v>结算费</v>
      </c>
      <c r="M1" s="1" t="str">
        <f>"其他费"</f>
        <v>其他费</v>
      </c>
      <c r="N1" s="1" t="str">
        <f>"发生金额"</f>
        <v>发生金额</v>
      </c>
      <c r="O1" s="1" t="str">
        <f>"剩余金额"</f>
        <v>剩余金额</v>
      </c>
      <c r="P1" s="1" t="str">
        <f>"证券数量"</f>
        <v>证券数量</v>
      </c>
      <c r="Q1" s="1" t="str">
        <f>"股东代码"</f>
        <v>股东代码</v>
      </c>
      <c r="R1" s="1" t="str">
        <f>"币种"</f>
        <v>币种</v>
      </c>
      <c r="S1" s="1" t="str">
        <f>"成交编号"</f>
        <v>成交编号</v>
      </c>
    </row>
    <row r="2" spans="1:19">
      <c r="A2" s="1" t="str">
        <f>"20170410"</f>
        <v>20170410</v>
      </c>
      <c r="B2" s="1" t="str">
        <f>"601919"</f>
        <v>601919</v>
      </c>
      <c r="C2" s="1" t="str">
        <f>"中远海控"</f>
        <v>中远海控</v>
      </c>
      <c r="D2" s="1" t="str">
        <f>"融资买入"</f>
        <v>融资买入</v>
      </c>
      <c r="E2" s="1">
        <v>6.19</v>
      </c>
      <c r="F2" s="1">
        <v>5000</v>
      </c>
      <c r="G2" s="1">
        <v>30950</v>
      </c>
      <c r="H2" s="1">
        <v>34.05</v>
      </c>
      <c r="I2" s="1">
        <v>31.92</v>
      </c>
      <c r="J2" s="1">
        <v>0</v>
      </c>
      <c r="K2" s="1">
        <v>0.62</v>
      </c>
      <c r="L2" s="1">
        <v>0</v>
      </c>
      <c r="M2" s="1">
        <v>0</v>
      </c>
      <c r="N2" s="1">
        <v>-30984.67</v>
      </c>
      <c r="O2" s="1">
        <v>-30564.64</v>
      </c>
      <c r="P2" s="1">
        <v>5000</v>
      </c>
      <c r="Q2" s="1" t="str">
        <f>"E021635187"</f>
        <v>E021635187</v>
      </c>
      <c r="R2" s="1" t="str">
        <f t="shared" ref="R2:R30" si="0">"人民币"</f>
        <v>人民币</v>
      </c>
      <c r="S2" s="1" t="str">
        <f>"1361000583"</f>
        <v>1361000583</v>
      </c>
    </row>
    <row r="3" spans="1:19">
      <c r="A3" s="1" t="str">
        <f>"20170410"</f>
        <v>20170410</v>
      </c>
      <c r="D3" s="1" t="str">
        <f>"融资借入"</f>
        <v>融资借入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30984.67</v>
      </c>
      <c r="O3" s="1">
        <v>420.03</v>
      </c>
      <c r="P3" s="1">
        <v>0</v>
      </c>
      <c r="R3" s="1" t="str">
        <f t="shared" si="0"/>
        <v>人民币</v>
      </c>
      <c r="S3" s="1" t="str">
        <f>"1361000583"</f>
        <v>1361000583</v>
      </c>
    </row>
    <row r="4" spans="1:18">
      <c r="A4" s="1" t="str">
        <f>"20170426"</f>
        <v>20170426</v>
      </c>
      <c r="B4" s="1" t="str">
        <f>"000667"</f>
        <v>000667</v>
      </c>
      <c r="C4" s="1" t="str">
        <f>"美好置业"</f>
        <v>美好置业</v>
      </c>
      <c r="D4" s="1" t="str">
        <f>"红利入账"</f>
        <v>红利入账</v>
      </c>
      <c r="E4" s="1">
        <v>0</v>
      </c>
      <c r="F4" s="1">
        <v>0</v>
      </c>
      <c r="G4" s="1">
        <v>282.5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282.5</v>
      </c>
      <c r="O4" s="1">
        <v>702.53</v>
      </c>
      <c r="P4" s="1">
        <v>0</v>
      </c>
      <c r="Q4" s="1" t="str">
        <f>"0602175409"</f>
        <v>0602175409</v>
      </c>
      <c r="R4" s="1" t="str">
        <f t="shared" si="0"/>
        <v>人民币</v>
      </c>
    </row>
    <row r="5" spans="1:19">
      <c r="A5" s="1" t="str">
        <f t="shared" ref="A5:A8" si="1">"20170427"</f>
        <v>20170427</v>
      </c>
      <c r="B5" s="1" t="str">
        <f>"601919"</f>
        <v>601919</v>
      </c>
      <c r="C5" s="1" t="str">
        <f>"中远海控"</f>
        <v>中远海控</v>
      </c>
      <c r="D5" s="1" t="str">
        <f>"担保品卖出"</f>
        <v>担保品卖出</v>
      </c>
      <c r="E5" s="1">
        <v>5.36</v>
      </c>
      <c r="F5" s="1">
        <v>5000</v>
      </c>
      <c r="G5" s="1">
        <v>26800</v>
      </c>
      <c r="H5" s="1">
        <v>8.31</v>
      </c>
      <c r="I5" s="1">
        <v>6.46</v>
      </c>
      <c r="J5" s="1">
        <v>26.8</v>
      </c>
      <c r="K5" s="1">
        <v>0.54</v>
      </c>
      <c r="L5" s="1">
        <v>0</v>
      </c>
      <c r="M5" s="1">
        <v>0</v>
      </c>
      <c r="N5" s="1">
        <v>26764.35</v>
      </c>
      <c r="O5" s="1">
        <v>27466.88</v>
      </c>
      <c r="P5" s="1">
        <v>0</v>
      </c>
      <c r="Q5" s="1" t="str">
        <f t="shared" ref="Q5:Q10" si="2">"E021635187"</f>
        <v>E021635187</v>
      </c>
      <c r="R5" s="1" t="str">
        <f t="shared" si="0"/>
        <v>人民币</v>
      </c>
      <c r="S5" s="1" t="str">
        <f>"1361000290"</f>
        <v>1361000290</v>
      </c>
    </row>
    <row r="6" spans="1:18">
      <c r="A6" s="1" t="str">
        <f t="shared" si="1"/>
        <v>20170427</v>
      </c>
      <c r="D6" s="1" t="str">
        <f>"偿还融资负债本金"</f>
        <v>偿还融资负债本金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-577.79</v>
      </c>
      <c r="O6" s="1">
        <v>26766.88</v>
      </c>
      <c r="P6" s="1">
        <v>0</v>
      </c>
      <c r="R6" s="1" t="str">
        <f t="shared" si="0"/>
        <v>人民币</v>
      </c>
    </row>
    <row r="7" spans="1:18">
      <c r="A7" s="1" t="str">
        <f t="shared" si="1"/>
        <v>20170427</v>
      </c>
      <c r="D7" s="1" t="str">
        <f>"偿还融资利息"</f>
        <v>偿还融资利息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-122.21</v>
      </c>
      <c r="O7" s="1">
        <v>27344.67</v>
      </c>
      <c r="P7" s="1">
        <v>0</v>
      </c>
      <c r="R7" s="1" t="str">
        <f t="shared" si="0"/>
        <v>人民币</v>
      </c>
    </row>
    <row r="8" spans="1:19">
      <c r="A8" s="1" t="str">
        <f t="shared" si="1"/>
        <v>20170427</v>
      </c>
      <c r="D8" s="1" t="str">
        <f>"偿还融资负债本金"</f>
        <v>偿还融资负债本金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-26692.26</v>
      </c>
      <c r="O8" s="1">
        <v>74.62</v>
      </c>
      <c r="P8" s="1">
        <v>0</v>
      </c>
      <c r="R8" s="1" t="str">
        <f t="shared" si="0"/>
        <v>人民币</v>
      </c>
      <c r="S8" s="1" t="str">
        <f>"1361000290"</f>
        <v>1361000290</v>
      </c>
    </row>
    <row r="9" spans="1:19">
      <c r="A9" s="1" t="str">
        <f t="shared" ref="A9:A12" si="3">"20170510"</f>
        <v>20170510</v>
      </c>
      <c r="B9" s="1" t="str">
        <f>"600066"</f>
        <v>600066</v>
      </c>
      <c r="C9" s="1" t="str">
        <f>"宇通客车"</f>
        <v>宇通客车</v>
      </c>
      <c r="D9" s="1" t="str">
        <f>"融资买入"</f>
        <v>融资买入</v>
      </c>
      <c r="E9" s="1">
        <v>19.336</v>
      </c>
      <c r="F9" s="1">
        <v>500</v>
      </c>
      <c r="G9" s="1">
        <v>9668</v>
      </c>
      <c r="H9" s="1">
        <v>10.63</v>
      </c>
      <c r="I9" s="1">
        <v>9.96</v>
      </c>
      <c r="J9" s="1">
        <v>0</v>
      </c>
      <c r="K9" s="1">
        <v>0.19</v>
      </c>
      <c r="L9" s="1">
        <v>0</v>
      </c>
      <c r="M9" s="1">
        <v>0</v>
      </c>
      <c r="N9" s="1">
        <v>-9678.82</v>
      </c>
      <c r="O9" s="1">
        <v>-9604.2</v>
      </c>
      <c r="P9" s="1">
        <v>1000</v>
      </c>
      <c r="Q9" s="1" t="str">
        <f t="shared" si="2"/>
        <v>E021635187</v>
      </c>
      <c r="R9" s="1" t="str">
        <f t="shared" si="0"/>
        <v>人民币</v>
      </c>
      <c r="S9" s="1" t="str">
        <f>"0136000121"</f>
        <v>0136000121</v>
      </c>
    </row>
    <row r="10" spans="1:19">
      <c r="A10" s="1" t="str">
        <f t="shared" si="3"/>
        <v>20170510</v>
      </c>
      <c r="B10" s="1" t="str">
        <f>"600066"</f>
        <v>600066</v>
      </c>
      <c r="C10" s="1" t="str">
        <f>"宇通客车"</f>
        <v>宇通客车</v>
      </c>
      <c r="D10" s="1" t="str">
        <f>"担保品卖出"</f>
        <v>担保品卖出</v>
      </c>
      <c r="E10" s="1">
        <v>19.15</v>
      </c>
      <c r="F10" s="1">
        <v>500</v>
      </c>
      <c r="G10" s="1">
        <v>9575</v>
      </c>
      <c r="H10" s="1">
        <v>5</v>
      </c>
      <c r="I10" s="1">
        <v>4.35</v>
      </c>
      <c r="J10" s="1">
        <v>9.58</v>
      </c>
      <c r="K10" s="1">
        <v>0.19</v>
      </c>
      <c r="L10" s="1">
        <v>0</v>
      </c>
      <c r="M10" s="1">
        <v>0</v>
      </c>
      <c r="N10" s="1">
        <v>9560.23</v>
      </c>
      <c r="O10" s="1">
        <v>-43.97</v>
      </c>
      <c r="P10" s="1">
        <v>500</v>
      </c>
      <c r="Q10" s="1" t="str">
        <f t="shared" si="2"/>
        <v>E021635187</v>
      </c>
      <c r="R10" s="1" t="str">
        <f t="shared" si="0"/>
        <v>人民币</v>
      </c>
      <c r="S10" s="1" t="str">
        <f>"0136000552"</f>
        <v>0136000552</v>
      </c>
    </row>
    <row r="11" spans="1:19">
      <c r="A11" s="1" t="str">
        <f t="shared" si="3"/>
        <v>20170510</v>
      </c>
      <c r="D11" s="1" t="str">
        <f>"融资借入"</f>
        <v>融资借入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9678.82</v>
      </c>
      <c r="O11" s="1">
        <v>9634.85</v>
      </c>
      <c r="P11" s="1">
        <v>0</v>
      </c>
      <c r="R11" s="1" t="str">
        <f t="shared" si="0"/>
        <v>人民币</v>
      </c>
      <c r="S11" s="1" t="str">
        <f>"0136000121"</f>
        <v>0136000121</v>
      </c>
    </row>
    <row r="12" spans="1:19">
      <c r="A12" s="1" t="str">
        <f t="shared" si="3"/>
        <v>20170510</v>
      </c>
      <c r="D12" s="1" t="str">
        <f>"偿还融资负债本金"</f>
        <v>偿还融资负债本金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-9536.5</v>
      </c>
      <c r="O12" s="1">
        <v>98.35</v>
      </c>
      <c r="P12" s="1">
        <v>0</v>
      </c>
      <c r="R12" s="1" t="str">
        <f t="shared" si="0"/>
        <v>人民币</v>
      </c>
      <c r="S12" s="1" t="str">
        <f>"0136000552"</f>
        <v>0136000552</v>
      </c>
    </row>
    <row r="13" spans="1:18">
      <c r="A13" s="1" t="str">
        <f t="shared" ref="A13:A16" si="4">"20170518"</f>
        <v>20170518</v>
      </c>
      <c r="D13" s="1" t="str">
        <f>"银行转证券"</f>
        <v>银行转证券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20000</v>
      </c>
      <c r="O13" s="1">
        <v>20098.35</v>
      </c>
      <c r="P13" s="1">
        <v>0</v>
      </c>
      <c r="R13" s="1" t="str">
        <f t="shared" si="0"/>
        <v>人民币</v>
      </c>
    </row>
    <row r="14" spans="1:19">
      <c r="A14" s="1" t="str">
        <f t="shared" si="4"/>
        <v>20170518</v>
      </c>
      <c r="B14" s="1" t="str">
        <f>"000601"</f>
        <v>000601</v>
      </c>
      <c r="C14" s="1" t="str">
        <f>"韶能股份"</f>
        <v>韶能股份</v>
      </c>
      <c r="D14" s="1" t="str">
        <f>"担保品买入"</f>
        <v>担保品买入</v>
      </c>
      <c r="E14" s="1">
        <v>6.9</v>
      </c>
      <c r="F14" s="1">
        <v>2800</v>
      </c>
      <c r="G14" s="1">
        <v>19320</v>
      </c>
      <c r="H14" s="1">
        <v>5.99</v>
      </c>
      <c r="I14" s="1">
        <v>4.28</v>
      </c>
      <c r="J14" s="1">
        <v>0</v>
      </c>
      <c r="K14" s="1">
        <v>0</v>
      </c>
      <c r="L14" s="1">
        <v>0</v>
      </c>
      <c r="M14" s="1">
        <v>0</v>
      </c>
      <c r="N14" s="1">
        <v>-19325.99</v>
      </c>
      <c r="O14" s="1">
        <v>772.36</v>
      </c>
      <c r="P14" s="1">
        <v>8800</v>
      </c>
      <c r="Q14" s="1" t="str">
        <f t="shared" ref="Q14:Q18" si="5">"0602175409"</f>
        <v>0602175409</v>
      </c>
      <c r="R14" s="1" t="str">
        <f t="shared" si="0"/>
        <v>人民币</v>
      </c>
      <c r="S14" s="1" t="str">
        <f>"T4000122"</f>
        <v>T4000122</v>
      </c>
    </row>
    <row r="15" spans="1:18">
      <c r="A15" s="1" t="str">
        <f t="shared" si="4"/>
        <v>20170518</v>
      </c>
      <c r="D15" s="1" t="str">
        <f>"偿还融资负债本金"</f>
        <v>偿还融资负债本金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-481.94</v>
      </c>
      <c r="O15" s="1">
        <v>272.36</v>
      </c>
      <c r="P15" s="1">
        <v>0</v>
      </c>
      <c r="R15" s="1" t="str">
        <f t="shared" si="0"/>
        <v>人民币</v>
      </c>
    </row>
    <row r="16" spans="1:18">
      <c r="A16" s="1" t="str">
        <f t="shared" si="4"/>
        <v>20170518</v>
      </c>
      <c r="D16" s="1" t="str">
        <f>"偿还融资利息"</f>
        <v>偿还融资利息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-18.06</v>
      </c>
      <c r="O16" s="1">
        <v>754.3</v>
      </c>
      <c r="P16" s="1">
        <v>0</v>
      </c>
      <c r="R16" s="1" t="str">
        <f t="shared" si="0"/>
        <v>人民币</v>
      </c>
    </row>
    <row r="17" spans="1:19">
      <c r="A17" s="1" t="str">
        <f t="shared" ref="A17:A20" si="6">"20170607"</f>
        <v>20170607</v>
      </c>
      <c r="B17" s="1" t="str">
        <f>"002183"</f>
        <v>002183</v>
      </c>
      <c r="C17" s="1" t="str">
        <f>"怡 亚 通"</f>
        <v>怡 亚 通</v>
      </c>
      <c r="D17" s="1" t="str">
        <f>"融资买入"</f>
        <v>融资买入</v>
      </c>
      <c r="E17" s="1">
        <v>8.61</v>
      </c>
      <c r="F17" s="1">
        <v>2500</v>
      </c>
      <c r="G17" s="1">
        <v>21525</v>
      </c>
      <c r="H17" s="1">
        <v>23.68</v>
      </c>
      <c r="I17" s="1">
        <v>21.77</v>
      </c>
      <c r="J17" s="1">
        <v>0</v>
      </c>
      <c r="K17" s="1">
        <v>0</v>
      </c>
      <c r="L17" s="1">
        <v>0</v>
      </c>
      <c r="M17" s="1">
        <v>0</v>
      </c>
      <c r="N17" s="1">
        <v>-21548.68</v>
      </c>
      <c r="O17" s="1">
        <v>-21276.32</v>
      </c>
      <c r="P17" s="1">
        <v>2500</v>
      </c>
      <c r="Q17" s="1" t="str">
        <f t="shared" si="5"/>
        <v>0602175409</v>
      </c>
      <c r="R17" s="1" t="str">
        <f t="shared" si="0"/>
        <v>人民币</v>
      </c>
      <c r="S17" s="1" t="str">
        <f>"T4000780"</f>
        <v>T4000780</v>
      </c>
    </row>
    <row r="18" spans="1:19">
      <c r="A18" s="1" t="str">
        <f t="shared" si="6"/>
        <v>20170607</v>
      </c>
      <c r="B18" s="1" t="str">
        <f>"000667"</f>
        <v>000667</v>
      </c>
      <c r="C18" s="1" t="str">
        <f>"美好置业"</f>
        <v>美好置业</v>
      </c>
      <c r="D18" s="1" t="str">
        <f>"融资买入"</f>
        <v>融资买入</v>
      </c>
      <c r="E18" s="1">
        <v>3.54</v>
      </c>
      <c r="F18" s="1">
        <v>5000</v>
      </c>
      <c r="G18" s="1">
        <v>17700</v>
      </c>
      <c r="H18" s="1">
        <v>19.47</v>
      </c>
      <c r="I18" s="1">
        <v>17.91</v>
      </c>
      <c r="J18" s="1">
        <v>0</v>
      </c>
      <c r="K18" s="1">
        <v>0</v>
      </c>
      <c r="L18" s="1">
        <v>0</v>
      </c>
      <c r="M18" s="1">
        <v>0</v>
      </c>
      <c r="N18" s="1">
        <v>-17719.47</v>
      </c>
      <c r="O18" s="1">
        <v>-38995.79</v>
      </c>
      <c r="P18" s="1">
        <v>16300</v>
      </c>
      <c r="Q18" s="1" t="str">
        <f t="shared" si="5"/>
        <v>0602175409</v>
      </c>
      <c r="R18" s="1" t="str">
        <f t="shared" si="0"/>
        <v>人民币</v>
      </c>
      <c r="S18" s="1" t="str">
        <f>"T4000845"</f>
        <v>T4000845</v>
      </c>
    </row>
    <row r="19" spans="1:19">
      <c r="A19" s="1" t="str">
        <f t="shared" si="6"/>
        <v>20170607</v>
      </c>
      <c r="D19" s="1" t="str">
        <f>"融资借入"</f>
        <v>融资借入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21548.68</v>
      </c>
      <c r="O19" s="1">
        <v>-17447.11</v>
      </c>
      <c r="P19" s="1">
        <v>0</v>
      </c>
      <c r="R19" s="1" t="str">
        <f t="shared" si="0"/>
        <v>人民币</v>
      </c>
      <c r="S19" s="1" t="str">
        <f>"T4000780"</f>
        <v>T4000780</v>
      </c>
    </row>
    <row r="20" spans="1:19">
      <c r="A20" s="1" t="str">
        <f t="shared" si="6"/>
        <v>20170607</v>
      </c>
      <c r="D20" s="1" t="str">
        <f>"融资借入"</f>
        <v>融资借入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17719.47</v>
      </c>
      <c r="O20" s="1">
        <v>272.36</v>
      </c>
      <c r="P20" s="1">
        <v>0</v>
      </c>
      <c r="R20" s="1" t="str">
        <f t="shared" si="0"/>
        <v>人民币</v>
      </c>
      <c r="S20" s="1" t="str">
        <f>"T4000845"</f>
        <v>T4000845</v>
      </c>
    </row>
    <row r="21" spans="1:19">
      <c r="A21" s="1" t="str">
        <f>"20170609"</f>
        <v>20170609</v>
      </c>
      <c r="B21" s="1" t="str">
        <f>"000601"</f>
        <v>000601</v>
      </c>
      <c r="C21" s="1" t="str">
        <f>"韶能股份"</f>
        <v>韶能股份</v>
      </c>
      <c r="D21" s="1" t="str">
        <f>"担保品卖出"</f>
        <v>担保品卖出</v>
      </c>
      <c r="E21" s="1">
        <v>6.99</v>
      </c>
      <c r="F21" s="1">
        <v>2800</v>
      </c>
      <c r="G21" s="1">
        <v>19572</v>
      </c>
      <c r="H21" s="1">
        <v>6.07</v>
      </c>
      <c r="I21" s="1">
        <v>4.34</v>
      </c>
      <c r="J21" s="1">
        <v>19.58</v>
      </c>
      <c r="K21" s="1">
        <v>0</v>
      </c>
      <c r="L21" s="1">
        <v>0</v>
      </c>
      <c r="M21" s="1">
        <v>0</v>
      </c>
      <c r="N21" s="1">
        <v>19546.35</v>
      </c>
      <c r="O21" s="1">
        <v>19818.71</v>
      </c>
      <c r="P21" s="1">
        <v>6000</v>
      </c>
      <c r="Q21" s="1" t="str">
        <f>"0602175409"</f>
        <v>0602175409</v>
      </c>
      <c r="R21" s="1" t="str">
        <f t="shared" si="0"/>
        <v>人民币</v>
      </c>
      <c r="S21" s="1" t="str">
        <f>"T4000632"</f>
        <v>T4000632</v>
      </c>
    </row>
    <row r="22" spans="1:18">
      <c r="A22" s="1" t="str">
        <f>"20170613"</f>
        <v>20170613</v>
      </c>
      <c r="B22" s="1" t="str">
        <f>"600066"</f>
        <v>600066</v>
      </c>
      <c r="C22" s="1" t="str">
        <f>"宇通客车"</f>
        <v>宇通客车</v>
      </c>
      <c r="D22" s="1" t="str">
        <f>"红利入账"</f>
        <v>红利入账</v>
      </c>
      <c r="E22" s="1">
        <v>0</v>
      </c>
      <c r="F22" s="1">
        <v>500</v>
      </c>
      <c r="G22" s="1">
        <v>500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500</v>
      </c>
      <c r="O22" s="1">
        <v>20318.71</v>
      </c>
      <c r="P22" s="1">
        <v>0</v>
      </c>
      <c r="Q22" s="1" t="str">
        <f>"E021635187"</f>
        <v>E021635187</v>
      </c>
      <c r="R22" s="1" t="str">
        <f t="shared" si="0"/>
        <v>人民币</v>
      </c>
    </row>
    <row r="23" spans="1:18">
      <c r="A23" s="1" t="str">
        <f>"20170615"</f>
        <v>20170615</v>
      </c>
      <c r="D23" s="1" t="str">
        <f>"证券转银行"</f>
        <v>证券转银行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-20318.17</v>
      </c>
      <c r="O23" s="1">
        <v>0.54</v>
      </c>
      <c r="P23" s="1">
        <v>0</v>
      </c>
      <c r="R23" s="1" t="str">
        <f t="shared" si="0"/>
        <v>人民币</v>
      </c>
    </row>
    <row r="24" spans="1:18">
      <c r="A24" s="1" t="str">
        <f>"20170620"</f>
        <v>20170620</v>
      </c>
      <c r="D24" s="1" t="str">
        <f>"利息归本"</f>
        <v>利息归本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1.47</v>
      </c>
      <c r="O24" s="1">
        <v>2.01</v>
      </c>
      <c r="P24" s="1">
        <v>0</v>
      </c>
      <c r="R24" s="1" t="str">
        <f t="shared" si="0"/>
        <v>人民币</v>
      </c>
    </row>
    <row r="25" spans="1:19">
      <c r="A25" s="1" t="str">
        <f t="shared" ref="A25:A30" si="7">"20170630"</f>
        <v>20170630</v>
      </c>
      <c r="B25" s="1" t="str">
        <f>"000667"</f>
        <v>000667</v>
      </c>
      <c r="C25" s="1" t="str">
        <f>"美好置业"</f>
        <v>美好置业</v>
      </c>
      <c r="D25" s="1" t="str">
        <f>"担保品卖出"</f>
        <v>担保品卖出</v>
      </c>
      <c r="E25" s="1">
        <v>3.3</v>
      </c>
      <c r="F25" s="1">
        <v>9300</v>
      </c>
      <c r="G25" s="1">
        <v>30690</v>
      </c>
      <c r="H25" s="1">
        <v>9.51</v>
      </c>
      <c r="I25" s="1">
        <v>6.8</v>
      </c>
      <c r="J25" s="1">
        <v>30.69</v>
      </c>
      <c r="K25" s="1">
        <v>0</v>
      </c>
      <c r="L25" s="1">
        <v>0</v>
      </c>
      <c r="M25" s="1">
        <v>0</v>
      </c>
      <c r="N25" s="1">
        <v>30649.8</v>
      </c>
      <c r="O25" s="1">
        <v>30651.81</v>
      </c>
      <c r="P25" s="1">
        <v>7000</v>
      </c>
      <c r="Q25" s="1" t="str">
        <f>"0602175409"</f>
        <v>0602175409</v>
      </c>
      <c r="R25" s="1" t="str">
        <f t="shared" si="0"/>
        <v>人民币</v>
      </c>
      <c r="S25" s="1" t="str">
        <f>"T4000175"</f>
        <v>T4000175</v>
      </c>
    </row>
    <row r="26" spans="1:19">
      <c r="A26" s="1" t="str">
        <f t="shared" si="7"/>
        <v>20170630</v>
      </c>
      <c r="B26" s="1" t="str">
        <f>"600066"</f>
        <v>600066</v>
      </c>
      <c r="C26" s="1" t="str">
        <f>"宇通客车"</f>
        <v>宇通客车</v>
      </c>
      <c r="D26" s="1" t="str">
        <f>"担保品买入"</f>
        <v>担保品买入</v>
      </c>
      <c r="E26" s="1">
        <v>21.91</v>
      </c>
      <c r="F26" s="1">
        <v>500</v>
      </c>
      <c r="G26" s="1">
        <v>10955</v>
      </c>
      <c r="H26" s="1">
        <v>5</v>
      </c>
      <c r="I26" s="1">
        <v>4.25</v>
      </c>
      <c r="J26" s="1">
        <v>0</v>
      </c>
      <c r="K26" s="1">
        <v>0.22</v>
      </c>
      <c r="L26" s="1">
        <v>0</v>
      </c>
      <c r="M26" s="1">
        <v>0</v>
      </c>
      <c r="N26" s="1">
        <v>-10960.22</v>
      </c>
      <c r="O26" s="1">
        <v>19691.59</v>
      </c>
      <c r="P26" s="1">
        <v>1000</v>
      </c>
      <c r="Q26" s="1" t="str">
        <f>"E021635187"</f>
        <v>E021635187</v>
      </c>
      <c r="R26" s="1" t="str">
        <f t="shared" si="0"/>
        <v>人民币</v>
      </c>
      <c r="S26" s="1" t="str">
        <f>"0136000165"</f>
        <v>0136000165</v>
      </c>
    </row>
    <row r="27" spans="1:19">
      <c r="A27" s="1" t="str">
        <f t="shared" si="7"/>
        <v>20170630</v>
      </c>
      <c r="B27" s="1" t="str">
        <f>"002183"</f>
        <v>002183</v>
      </c>
      <c r="C27" s="1" t="str">
        <f>"怡 亚 通"</f>
        <v>怡 亚 通</v>
      </c>
      <c r="D27" s="1" t="str">
        <f>"融资买入"</f>
        <v>融资买入</v>
      </c>
      <c r="E27" s="1">
        <v>8.68</v>
      </c>
      <c r="F27" s="1">
        <v>2500</v>
      </c>
      <c r="G27" s="1">
        <v>21700</v>
      </c>
      <c r="H27" s="1">
        <v>23.87</v>
      </c>
      <c r="I27" s="1">
        <v>21.95</v>
      </c>
      <c r="J27" s="1">
        <v>0</v>
      </c>
      <c r="K27" s="1">
        <v>0</v>
      </c>
      <c r="L27" s="1">
        <v>0</v>
      </c>
      <c r="M27" s="1">
        <v>0</v>
      </c>
      <c r="N27" s="1">
        <v>-21723.87</v>
      </c>
      <c r="O27" s="1">
        <v>-2032.28</v>
      </c>
      <c r="P27" s="1">
        <v>5000</v>
      </c>
      <c r="Q27" s="1" t="str">
        <f>"0602175409"</f>
        <v>0602175409</v>
      </c>
      <c r="R27" s="1" t="str">
        <f t="shared" si="0"/>
        <v>人民币</v>
      </c>
      <c r="S27" s="1" t="str">
        <f>"T4000298"</f>
        <v>T4000298</v>
      </c>
    </row>
    <row r="28" spans="1:19">
      <c r="A28" s="1" t="str">
        <f t="shared" si="7"/>
        <v>20170630</v>
      </c>
      <c r="D28" s="1" t="str">
        <f>"融资借入"</f>
        <v>融资借入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21723.87</v>
      </c>
      <c r="O28" s="1">
        <v>19691.59</v>
      </c>
      <c r="P28" s="1">
        <v>0</v>
      </c>
      <c r="R28" s="1" t="str">
        <f t="shared" si="0"/>
        <v>人民币</v>
      </c>
      <c r="S28" s="1" t="str">
        <f>"T4000298"</f>
        <v>T4000298</v>
      </c>
    </row>
    <row r="29" spans="1:19">
      <c r="A29" s="1" t="str">
        <f t="shared" si="7"/>
        <v>20170630</v>
      </c>
      <c r="D29" s="1" t="str">
        <f>"偿还融资负债本金"</f>
        <v>偿还融资负债本金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-17719.47</v>
      </c>
      <c r="O29" s="1">
        <v>1972.12</v>
      </c>
      <c r="P29" s="1">
        <v>0</v>
      </c>
      <c r="R29" s="1" t="str">
        <f t="shared" si="0"/>
        <v>人民币</v>
      </c>
      <c r="S29" s="1" t="str">
        <f>"T4000175"</f>
        <v>T4000175</v>
      </c>
    </row>
    <row r="30" spans="1:18">
      <c r="A30" s="1" t="str">
        <f t="shared" si="7"/>
        <v>20170630</v>
      </c>
      <c r="D30" s="1" t="str">
        <f>"偿还融资利息"</f>
        <v>偿还融资利息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-94.53</v>
      </c>
      <c r="O30" s="1">
        <v>1877.59</v>
      </c>
      <c r="P30" s="1">
        <v>0</v>
      </c>
      <c r="R30" s="1" t="str">
        <f t="shared" si="0"/>
        <v>人民币</v>
      </c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9"/>
  <sheetViews>
    <sheetView topLeftCell="A103" workbookViewId="0">
      <selection activeCell="I124" sqref="I124"/>
    </sheetView>
  </sheetViews>
  <sheetFormatPr defaultColWidth="9" defaultRowHeight="13.5"/>
  <cols>
    <col min="1" max="16384" width="9" style="1"/>
  </cols>
  <sheetData>
    <row r="1" spans="1:19">
      <c r="A1" s="1" t="str">
        <f>"交割日期"</f>
        <v>交割日期</v>
      </c>
      <c r="B1" s="1" t="str">
        <f>"证券代码"</f>
        <v>证券代码</v>
      </c>
      <c r="C1" s="1" t="str">
        <f>"证券名称"</f>
        <v>证券名称</v>
      </c>
      <c r="D1" s="1" t="str">
        <f>"业务名称"</f>
        <v>业务名称</v>
      </c>
      <c r="E1" s="1" t="str">
        <f>"成交价格"</f>
        <v>成交价格</v>
      </c>
      <c r="F1" s="1" t="str">
        <f>"成交数量"</f>
        <v>成交数量</v>
      </c>
      <c r="G1" s="1" t="str">
        <f>"成交金额"</f>
        <v>成交金额</v>
      </c>
      <c r="H1" s="1" t="str">
        <f>"手续费"</f>
        <v>手续费</v>
      </c>
      <c r="I1" s="1" t="str">
        <f>"净佣金"</f>
        <v>净佣金</v>
      </c>
      <c r="J1" s="1" t="str">
        <f>"印花税"</f>
        <v>印花税</v>
      </c>
      <c r="K1" s="1" t="str">
        <f>"过户费"</f>
        <v>过户费</v>
      </c>
      <c r="L1" s="1" t="str">
        <f>"结算费"</f>
        <v>结算费</v>
      </c>
      <c r="M1" s="1" t="str">
        <f>"其他费"</f>
        <v>其他费</v>
      </c>
      <c r="N1" s="1" t="str">
        <f>"发生金额"</f>
        <v>发生金额</v>
      </c>
      <c r="O1" s="1" t="str">
        <f>"剩余金额"</f>
        <v>剩余金额</v>
      </c>
      <c r="P1" s="1" t="str">
        <f>"证券数量"</f>
        <v>证券数量</v>
      </c>
      <c r="Q1" s="1" t="str">
        <f>"股东代码"</f>
        <v>股东代码</v>
      </c>
      <c r="R1" s="1" t="str">
        <f>"币种"</f>
        <v>币种</v>
      </c>
      <c r="S1" s="1" t="str">
        <f>"成交编号"</f>
        <v>成交编号</v>
      </c>
    </row>
    <row r="2" spans="1:18">
      <c r="A2" s="1" t="str">
        <f>"20170703"</f>
        <v>20170703</v>
      </c>
      <c r="B2" s="1" t="str">
        <f>"000667"</f>
        <v>000667</v>
      </c>
      <c r="C2" s="1" t="str">
        <f>"美好置业"</f>
        <v>美好置业</v>
      </c>
      <c r="D2" s="1" t="str">
        <f>"股息红利差异扣税"</f>
        <v>股息红利差异扣税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-23.25</v>
      </c>
      <c r="O2" s="1">
        <v>1854.34</v>
      </c>
      <c r="P2" s="1">
        <v>0</v>
      </c>
      <c r="Q2" s="1" t="str">
        <f>"0602175409"</f>
        <v>0602175409</v>
      </c>
      <c r="R2" s="1" t="str">
        <f t="shared" ref="R2:R65" si="0">"人民币"</f>
        <v>人民币</v>
      </c>
    </row>
    <row r="3" spans="1:19">
      <c r="A3" s="1" t="str">
        <f t="shared" ref="A3:A8" si="1">"20170710"</f>
        <v>20170710</v>
      </c>
      <c r="B3" s="1" t="str">
        <f>"002183"</f>
        <v>002183</v>
      </c>
      <c r="C3" s="1" t="str">
        <f>"怡 亚 通"</f>
        <v>怡 亚 通</v>
      </c>
      <c r="D3" s="1" t="str">
        <f>"担保品卖出"</f>
        <v>担保品卖出</v>
      </c>
      <c r="E3" s="1">
        <v>8.86</v>
      </c>
      <c r="F3" s="1">
        <v>2500</v>
      </c>
      <c r="G3" s="1">
        <v>22150</v>
      </c>
      <c r="H3" s="1">
        <v>6.87</v>
      </c>
      <c r="I3" s="1">
        <v>4.91</v>
      </c>
      <c r="J3" s="1">
        <v>22.15</v>
      </c>
      <c r="K3" s="1">
        <v>0</v>
      </c>
      <c r="L3" s="1">
        <v>0</v>
      </c>
      <c r="M3" s="1">
        <v>0</v>
      </c>
      <c r="N3" s="1">
        <v>22120.98</v>
      </c>
      <c r="O3" s="1">
        <v>23975.32</v>
      </c>
      <c r="P3" s="1">
        <v>2500</v>
      </c>
      <c r="Q3" s="1" t="str">
        <f>"0602175409"</f>
        <v>0602175409</v>
      </c>
      <c r="R3" s="1" t="str">
        <f t="shared" si="0"/>
        <v>人民币</v>
      </c>
      <c r="S3" s="1" t="str">
        <f t="shared" ref="S3:S7" si="2">"T4000285"</f>
        <v>T4000285</v>
      </c>
    </row>
    <row r="4" spans="1:19">
      <c r="A4" s="1" t="str">
        <f t="shared" si="1"/>
        <v>20170710</v>
      </c>
      <c r="B4" s="1" t="str">
        <f>"002183"</f>
        <v>002183</v>
      </c>
      <c r="C4" s="1" t="str">
        <f>"怡 亚 通"</f>
        <v>怡 亚 通</v>
      </c>
      <c r="D4" s="1" t="str">
        <f>"融资买入"</f>
        <v>融资买入</v>
      </c>
      <c r="E4" s="1">
        <v>8.77</v>
      </c>
      <c r="F4" s="1">
        <v>2500</v>
      </c>
      <c r="G4" s="1">
        <v>21925</v>
      </c>
      <c r="H4" s="1">
        <v>24.12</v>
      </c>
      <c r="I4" s="1">
        <v>22.18</v>
      </c>
      <c r="J4" s="1">
        <v>0</v>
      </c>
      <c r="K4" s="1">
        <v>0</v>
      </c>
      <c r="L4" s="1">
        <v>0</v>
      </c>
      <c r="M4" s="1">
        <v>0</v>
      </c>
      <c r="N4" s="1">
        <v>-21949.12</v>
      </c>
      <c r="O4" s="1">
        <v>2026.2</v>
      </c>
      <c r="P4" s="1">
        <v>5000</v>
      </c>
      <c r="Q4" s="1" t="str">
        <f>"0602175409"</f>
        <v>0602175409</v>
      </c>
      <c r="R4" s="1" t="str">
        <f t="shared" si="0"/>
        <v>人民币</v>
      </c>
      <c r="S4" s="1" t="str">
        <f>"T4000733"</f>
        <v>T4000733</v>
      </c>
    </row>
    <row r="5" spans="1:19">
      <c r="A5" s="1" t="str">
        <f t="shared" si="1"/>
        <v>20170710</v>
      </c>
      <c r="D5" s="1" t="str">
        <f>"融资借入"</f>
        <v>融资借入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21949.12</v>
      </c>
      <c r="O5" s="1">
        <v>23975.32</v>
      </c>
      <c r="P5" s="1">
        <v>0</v>
      </c>
      <c r="R5" s="1" t="str">
        <f t="shared" si="0"/>
        <v>人民币</v>
      </c>
      <c r="S5" s="1" t="str">
        <f>"T4000733"</f>
        <v>T4000733</v>
      </c>
    </row>
    <row r="6" spans="1:19">
      <c r="A6" s="1" t="str">
        <f t="shared" si="1"/>
        <v>20170710</v>
      </c>
      <c r="D6" s="1" t="str">
        <f>"偿还融资负债本金"</f>
        <v>偿还融资负债本金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-21548.68</v>
      </c>
      <c r="O6" s="1">
        <v>2426.64</v>
      </c>
      <c r="P6" s="1">
        <v>0</v>
      </c>
      <c r="R6" s="1" t="str">
        <f t="shared" si="0"/>
        <v>人民币</v>
      </c>
      <c r="S6" s="1" t="str">
        <f t="shared" si="2"/>
        <v>T4000285</v>
      </c>
    </row>
    <row r="7" spans="1:19">
      <c r="A7" s="1" t="str">
        <f t="shared" si="1"/>
        <v>20170710</v>
      </c>
      <c r="D7" s="1" t="str">
        <f>"偿还融资负债本金"</f>
        <v>偿还融资负债本金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-512.72</v>
      </c>
      <c r="O7" s="1">
        <v>1913.92</v>
      </c>
      <c r="P7" s="1">
        <v>0</v>
      </c>
      <c r="R7" s="1" t="str">
        <f t="shared" si="0"/>
        <v>人民币</v>
      </c>
      <c r="S7" s="1" t="str">
        <f t="shared" si="2"/>
        <v>T4000285</v>
      </c>
    </row>
    <row r="8" spans="1:18">
      <c r="A8" s="1" t="str">
        <f t="shared" si="1"/>
        <v>20170710</v>
      </c>
      <c r="D8" s="1" t="str">
        <f>"偿还融资利息"</f>
        <v>偿还融资利息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-165</v>
      </c>
      <c r="O8" s="1">
        <v>1748.92</v>
      </c>
      <c r="P8" s="1">
        <v>0</v>
      </c>
      <c r="R8" s="1" t="str">
        <f t="shared" si="0"/>
        <v>人民币</v>
      </c>
    </row>
    <row r="9" spans="1:19">
      <c r="A9" s="1" t="str">
        <f>"20170713"</f>
        <v>20170713</v>
      </c>
      <c r="B9" s="1" t="str">
        <f>"002183"</f>
        <v>002183</v>
      </c>
      <c r="C9" s="1" t="str">
        <f>"怡 亚 通"</f>
        <v>怡 亚 通</v>
      </c>
      <c r="D9" s="1" t="str">
        <f>"融资买入"</f>
        <v>融资买入</v>
      </c>
      <c r="E9" s="1">
        <v>8.42</v>
      </c>
      <c r="F9" s="1">
        <v>2500</v>
      </c>
      <c r="G9" s="1">
        <v>21050</v>
      </c>
      <c r="H9" s="1">
        <v>23.16</v>
      </c>
      <c r="I9" s="1">
        <v>21.29</v>
      </c>
      <c r="J9" s="1">
        <v>0</v>
      </c>
      <c r="K9" s="1">
        <v>0</v>
      </c>
      <c r="L9" s="1">
        <v>0</v>
      </c>
      <c r="M9" s="1">
        <v>0</v>
      </c>
      <c r="N9" s="1">
        <v>-21073.16</v>
      </c>
      <c r="O9" s="1">
        <v>-19324.24</v>
      </c>
      <c r="P9" s="1">
        <v>7500</v>
      </c>
      <c r="Q9" s="1" t="str">
        <f>"0602175409"</f>
        <v>0602175409</v>
      </c>
      <c r="R9" s="1" t="str">
        <f t="shared" si="0"/>
        <v>人民币</v>
      </c>
      <c r="S9" s="1" t="str">
        <f>"T4000204"</f>
        <v>T4000204</v>
      </c>
    </row>
    <row r="10" spans="1:19">
      <c r="A10" s="1" t="str">
        <f>"20170713"</f>
        <v>20170713</v>
      </c>
      <c r="D10" s="1" t="str">
        <f>"融资借入"</f>
        <v>融资借入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21073.16</v>
      </c>
      <c r="O10" s="1">
        <v>1748.92</v>
      </c>
      <c r="P10" s="1">
        <v>0</v>
      </c>
      <c r="R10" s="1" t="str">
        <f t="shared" si="0"/>
        <v>人民币</v>
      </c>
      <c r="S10" s="1" t="str">
        <f>"T4000204"</f>
        <v>T4000204</v>
      </c>
    </row>
    <row r="11" spans="1:18">
      <c r="A11" s="1" t="str">
        <f>"20170719"</f>
        <v>20170719</v>
      </c>
      <c r="B11" s="1" t="str">
        <f>"000601"</f>
        <v>000601</v>
      </c>
      <c r="C11" s="1" t="str">
        <f>"韶能股份"</f>
        <v>韶能股份</v>
      </c>
      <c r="D11" s="1" t="str">
        <f>"红利入账"</f>
        <v>红利入账</v>
      </c>
      <c r="E11" s="1">
        <v>0</v>
      </c>
      <c r="F11" s="1">
        <v>0</v>
      </c>
      <c r="G11" s="1">
        <v>1200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1200</v>
      </c>
      <c r="O11" s="1">
        <v>2948.92</v>
      </c>
      <c r="P11" s="1">
        <v>0</v>
      </c>
      <c r="Q11" s="1" t="str">
        <f>"0602175409"</f>
        <v>0602175409</v>
      </c>
      <c r="R11" s="1" t="str">
        <f t="shared" si="0"/>
        <v>人民币</v>
      </c>
    </row>
    <row r="12" spans="1:18">
      <c r="A12" s="1" t="str">
        <f>"20170720"</f>
        <v>20170720</v>
      </c>
      <c r="D12" s="1" t="str">
        <f>"偿还融资负债本金"</f>
        <v>偿还融资负债本金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-2852.75</v>
      </c>
      <c r="O12" s="1">
        <v>48.92</v>
      </c>
      <c r="P12" s="1">
        <v>0</v>
      </c>
      <c r="R12" s="1" t="str">
        <f t="shared" si="0"/>
        <v>人民币</v>
      </c>
    </row>
    <row r="13" spans="1:18">
      <c r="A13" s="1" t="str">
        <f>"20170720"</f>
        <v>20170720</v>
      </c>
      <c r="D13" s="1" t="str">
        <f>"偿还融资利息"</f>
        <v>偿还融资利息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-47.25</v>
      </c>
      <c r="O13" s="1">
        <v>2901.67</v>
      </c>
      <c r="P13" s="1">
        <v>0</v>
      </c>
      <c r="R13" s="1" t="str">
        <f t="shared" si="0"/>
        <v>人民币</v>
      </c>
    </row>
    <row r="14" spans="1:19">
      <c r="A14" s="1" t="str">
        <f t="shared" ref="A14:A16" si="3">"20170721"</f>
        <v>20170721</v>
      </c>
      <c r="B14" s="1" t="str">
        <f t="shared" ref="B14:B20" si="4">"600066"</f>
        <v>600066</v>
      </c>
      <c r="C14" s="1" t="str">
        <f t="shared" ref="C14:C20" si="5">"宇通客车"</f>
        <v>宇通客车</v>
      </c>
      <c r="D14" s="1" t="str">
        <f>"担保品卖出"</f>
        <v>担保品卖出</v>
      </c>
      <c r="E14" s="1">
        <v>23.12</v>
      </c>
      <c r="F14" s="1">
        <v>500</v>
      </c>
      <c r="G14" s="1">
        <v>11560</v>
      </c>
      <c r="H14" s="1">
        <v>5</v>
      </c>
      <c r="I14" s="1">
        <v>4.21</v>
      </c>
      <c r="J14" s="1">
        <v>11.56</v>
      </c>
      <c r="K14" s="1">
        <v>0.23</v>
      </c>
      <c r="L14" s="1">
        <v>0</v>
      </c>
      <c r="M14" s="1">
        <v>0</v>
      </c>
      <c r="N14" s="1">
        <v>11543.21</v>
      </c>
      <c r="O14" s="1">
        <v>11592.13</v>
      </c>
      <c r="P14" s="1">
        <v>500</v>
      </c>
      <c r="Q14" s="1" t="str">
        <f t="shared" ref="Q14:Q21" si="6">"E021635187"</f>
        <v>E021635187</v>
      </c>
      <c r="R14" s="1" t="str">
        <f t="shared" si="0"/>
        <v>人民币</v>
      </c>
      <c r="S14" s="1" t="str">
        <f>"0136000870"</f>
        <v>0136000870</v>
      </c>
    </row>
    <row r="15" spans="1:19">
      <c r="A15" s="1" t="str">
        <f t="shared" si="3"/>
        <v>20170721</v>
      </c>
      <c r="D15" s="1" t="str">
        <f>"偿还融资负债本金"</f>
        <v>偿还融资负债本金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-142.32</v>
      </c>
      <c r="O15" s="1">
        <v>11449.81</v>
      </c>
      <c r="P15" s="1">
        <v>0</v>
      </c>
      <c r="R15" s="1" t="str">
        <f t="shared" si="0"/>
        <v>人民币</v>
      </c>
      <c r="S15" s="1" t="str">
        <f>"0136000870"</f>
        <v>0136000870</v>
      </c>
    </row>
    <row r="16" spans="1:18">
      <c r="A16" s="1" t="str">
        <f t="shared" si="3"/>
        <v>20170721</v>
      </c>
      <c r="D16" s="1" t="str">
        <f>"偿还融资利息"</f>
        <v>偿还融资利息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-2.26</v>
      </c>
      <c r="O16" s="1">
        <v>11447.55</v>
      </c>
      <c r="P16" s="1">
        <v>0</v>
      </c>
      <c r="R16" s="1" t="str">
        <f t="shared" si="0"/>
        <v>人民币</v>
      </c>
    </row>
    <row r="17" spans="1:18">
      <c r="A17" s="1" t="str">
        <f>"20170724"</f>
        <v>20170724</v>
      </c>
      <c r="B17" s="1" t="str">
        <f t="shared" si="4"/>
        <v>600066</v>
      </c>
      <c r="C17" s="1" t="str">
        <f t="shared" si="5"/>
        <v>宇通客车</v>
      </c>
      <c r="D17" s="1" t="str">
        <f>"股息红利差异扣税"</f>
        <v>股息红利差异扣税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-50</v>
      </c>
      <c r="O17" s="1">
        <v>11397.55</v>
      </c>
      <c r="P17" s="1">
        <v>0</v>
      </c>
      <c r="Q17" s="1" t="str">
        <f t="shared" si="6"/>
        <v>E021635187</v>
      </c>
      <c r="R17" s="1" t="str">
        <f t="shared" si="0"/>
        <v>人民币</v>
      </c>
    </row>
    <row r="18" spans="1:19">
      <c r="A18" s="1" t="str">
        <f>"20170724"</f>
        <v>20170724</v>
      </c>
      <c r="B18" s="1" t="str">
        <f>"600575"</f>
        <v>600575</v>
      </c>
      <c r="C18" s="1" t="str">
        <f>"皖江物流"</f>
        <v>皖江物流</v>
      </c>
      <c r="D18" s="1" t="str">
        <f t="shared" ref="D18:D22" si="7">"担保品买入"</f>
        <v>担保品买入</v>
      </c>
      <c r="E18" s="1">
        <v>4.01</v>
      </c>
      <c r="F18" s="1">
        <v>2800</v>
      </c>
      <c r="G18" s="1">
        <v>11228</v>
      </c>
      <c r="H18" s="1">
        <v>5</v>
      </c>
      <c r="I18" s="1">
        <v>4.23</v>
      </c>
      <c r="J18" s="1">
        <v>0</v>
      </c>
      <c r="K18" s="1">
        <v>0.22</v>
      </c>
      <c r="L18" s="1">
        <v>0</v>
      </c>
      <c r="M18" s="1">
        <v>0</v>
      </c>
      <c r="N18" s="1">
        <v>-11233.22</v>
      </c>
      <c r="O18" s="1">
        <v>164.33</v>
      </c>
      <c r="P18" s="1">
        <v>2800</v>
      </c>
      <c r="Q18" s="1" t="str">
        <f t="shared" si="6"/>
        <v>E021635187</v>
      </c>
      <c r="R18" s="1" t="str">
        <f t="shared" si="0"/>
        <v>人民币</v>
      </c>
      <c r="S18" s="1" t="str">
        <f>"0136000154"</f>
        <v>0136000154</v>
      </c>
    </row>
    <row r="19" spans="1:19">
      <c r="A19" s="1" t="str">
        <f>"20170726"</f>
        <v>20170726</v>
      </c>
      <c r="B19" s="1" t="str">
        <f t="shared" si="4"/>
        <v>600066</v>
      </c>
      <c r="C19" s="1" t="str">
        <f t="shared" si="5"/>
        <v>宇通客车</v>
      </c>
      <c r="D19" s="1" t="str">
        <f>"担保品卖出"</f>
        <v>担保品卖出</v>
      </c>
      <c r="E19" s="1">
        <v>22.66</v>
      </c>
      <c r="F19" s="1">
        <v>500</v>
      </c>
      <c r="G19" s="1">
        <v>11330</v>
      </c>
      <c r="H19" s="1">
        <v>5</v>
      </c>
      <c r="I19" s="1">
        <v>4.21</v>
      </c>
      <c r="J19" s="1">
        <v>11.34</v>
      </c>
      <c r="K19" s="1">
        <v>0.23</v>
      </c>
      <c r="L19" s="1">
        <v>0</v>
      </c>
      <c r="M19" s="1">
        <v>0</v>
      </c>
      <c r="N19" s="1">
        <v>11313.43</v>
      </c>
      <c r="O19" s="1">
        <v>11477.76</v>
      </c>
      <c r="P19" s="1">
        <v>0</v>
      </c>
      <c r="Q19" s="1" t="str">
        <f t="shared" si="6"/>
        <v>E021635187</v>
      </c>
      <c r="R19" s="1" t="str">
        <f t="shared" si="0"/>
        <v>人民币</v>
      </c>
      <c r="S19" s="1" t="str">
        <f>"0136000880"</f>
        <v>0136000880</v>
      </c>
    </row>
    <row r="20" spans="1:19">
      <c r="A20" s="1" t="str">
        <f>"20170726"</f>
        <v>20170726</v>
      </c>
      <c r="B20" s="1" t="str">
        <f t="shared" si="4"/>
        <v>600066</v>
      </c>
      <c r="C20" s="1" t="str">
        <f t="shared" si="5"/>
        <v>宇通客车</v>
      </c>
      <c r="D20" s="1" t="str">
        <f t="shared" si="7"/>
        <v>担保品买入</v>
      </c>
      <c r="E20" s="1">
        <v>22.49</v>
      </c>
      <c r="F20" s="1">
        <v>500</v>
      </c>
      <c r="G20" s="1">
        <v>11245</v>
      </c>
      <c r="H20" s="1">
        <v>5</v>
      </c>
      <c r="I20" s="1">
        <v>4.23</v>
      </c>
      <c r="J20" s="1">
        <v>0</v>
      </c>
      <c r="K20" s="1">
        <v>0.22</v>
      </c>
      <c r="L20" s="1">
        <v>0</v>
      </c>
      <c r="M20" s="1">
        <v>0</v>
      </c>
      <c r="N20" s="1">
        <v>-11250.22</v>
      </c>
      <c r="O20" s="1">
        <v>227.54</v>
      </c>
      <c r="P20" s="1">
        <v>500</v>
      </c>
      <c r="Q20" s="1" t="str">
        <f t="shared" si="6"/>
        <v>E021635187</v>
      </c>
      <c r="R20" s="1" t="str">
        <f t="shared" si="0"/>
        <v>人民币</v>
      </c>
      <c r="S20" s="1" t="str">
        <f>"0136000987"</f>
        <v>0136000987</v>
      </c>
    </row>
    <row r="21" spans="1:19">
      <c r="A21" s="1" t="str">
        <f>"20170727"</f>
        <v>20170727</v>
      </c>
      <c r="B21" s="1" t="str">
        <f>"600575"</f>
        <v>600575</v>
      </c>
      <c r="C21" s="1" t="str">
        <f>"皖江物流"</f>
        <v>皖江物流</v>
      </c>
      <c r="D21" s="1" t="str">
        <f>"担保品卖出"</f>
        <v>担保品卖出</v>
      </c>
      <c r="E21" s="1">
        <v>3.92</v>
      </c>
      <c r="F21" s="1">
        <v>2800</v>
      </c>
      <c r="G21" s="1">
        <v>10976</v>
      </c>
      <c r="H21" s="1">
        <v>5</v>
      </c>
      <c r="I21" s="1">
        <v>4.25</v>
      </c>
      <c r="J21" s="1">
        <v>10.98</v>
      </c>
      <c r="K21" s="1">
        <v>0.22</v>
      </c>
      <c r="L21" s="1">
        <v>0</v>
      </c>
      <c r="M21" s="1">
        <v>0</v>
      </c>
      <c r="N21" s="1">
        <v>10959.8</v>
      </c>
      <c r="O21" s="1">
        <v>11187.34</v>
      </c>
      <c r="P21" s="1">
        <v>0</v>
      </c>
      <c r="Q21" s="1" t="str">
        <f t="shared" si="6"/>
        <v>E021635187</v>
      </c>
      <c r="R21" s="1" t="str">
        <f t="shared" si="0"/>
        <v>人民币</v>
      </c>
      <c r="S21" s="1" t="str">
        <f>"0136000541"</f>
        <v>0136000541</v>
      </c>
    </row>
    <row r="22" spans="1:19">
      <c r="A22" s="1" t="str">
        <f>"20170727"</f>
        <v>20170727</v>
      </c>
      <c r="B22" s="1" t="str">
        <f>"000601"</f>
        <v>000601</v>
      </c>
      <c r="C22" s="1" t="str">
        <f>"韶能股份"</f>
        <v>韶能股份</v>
      </c>
      <c r="D22" s="1" t="str">
        <f t="shared" si="7"/>
        <v>担保品买入</v>
      </c>
      <c r="E22" s="1">
        <v>7.2</v>
      </c>
      <c r="F22" s="1">
        <v>1500</v>
      </c>
      <c r="G22" s="1">
        <v>10800</v>
      </c>
      <c r="H22" s="1">
        <v>5</v>
      </c>
      <c r="I22" s="1">
        <v>4.04</v>
      </c>
      <c r="J22" s="1">
        <v>0</v>
      </c>
      <c r="K22" s="1">
        <v>0</v>
      </c>
      <c r="L22" s="1">
        <v>0</v>
      </c>
      <c r="M22" s="1">
        <v>0</v>
      </c>
      <c r="N22" s="1">
        <v>-10805</v>
      </c>
      <c r="O22" s="1">
        <v>382.34</v>
      </c>
      <c r="P22" s="1">
        <v>7500</v>
      </c>
      <c r="Q22" s="1" t="str">
        <f>"0602175409"</f>
        <v>0602175409</v>
      </c>
      <c r="R22" s="1" t="str">
        <f t="shared" si="0"/>
        <v>人民币</v>
      </c>
      <c r="S22" s="1" t="str">
        <f>"T4000561"</f>
        <v>T4000561</v>
      </c>
    </row>
    <row r="23" spans="1:19">
      <c r="A23" s="1" t="str">
        <f>"20170731"</f>
        <v>20170731</v>
      </c>
      <c r="B23" s="1" t="str">
        <f>"600066"</f>
        <v>600066</v>
      </c>
      <c r="C23" s="1" t="str">
        <f>"宇通客车"</f>
        <v>宇通客车</v>
      </c>
      <c r="D23" s="1" t="str">
        <f>"融资买入"</f>
        <v>融资买入</v>
      </c>
      <c r="E23" s="1">
        <v>22.13</v>
      </c>
      <c r="F23" s="1">
        <v>500</v>
      </c>
      <c r="G23" s="1">
        <v>11065</v>
      </c>
      <c r="H23" s="1">
        <v>12.17</v>
      </c>
      <c r="I23" s="1">
        <v>11.41</v>
      </c>
      <c r="J23" s="1">
        <v>0</v>
      </c>
      <c r="K23" s="1">
        <v>0.22</v>
      </c>
      <c r="L23" s="1">
        <v>0</v>
      </c>
      <c r="M23" s="1">
        <v>0</v>
      </c>
      <c r="N23" s="1">
        <v>-11077.39</v>
      </c>
      <c r="O23" s="1">
        <v>-10695.05</v>
      </c>
      <c r="P23" s="1">
        <v>1000</v>
      </c>
      <c r="Q23" s="1" t="str">
        <f>"E021635187"</f>
        <v>E021635187</v>
      </c>
      <c r="R23" s="1" t="str">
        <f t="shared" si="0"/>
        <v>人民币</v>
      </c>
      <c r="S23" s="1" t="str">
        <f>"0136000250"</f>
        <v>0136000250</v>
      </c>
    </row>
    <row r="24" spans="1:19">
      <c r="A24" s="1" t="str">
        <f>"20170731"</f>
        <v>20170731</v>
      </c>
      <c r="D24" s="1" t="str">
        <f>"融资借入"</f>
        <v>融资借入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11077.39</v>
      </c>
      <c r="O24" s="1">
        <v>382.34</v>
      </c>
      <c r="P24" s="1">
        <v>0</v>
      </c>
      <c r="R24" s="1" t="str">
        <f t="shared" si="0"/>
        <v>人民币</v>
      </c>
      <c r="S24" s="1" t="str">
        <f>"0136000250"</f>
        <v>0136000250</v>
      </c>
    </row>
    <row r="25" spans="1:19">
      <c r="A25" s="1" t="str">
        <f t="shared" ref="A25:A29" si="8">"20170801"</f>
        <v>20170801</v>
      </c>
      <c r="B25" s="1" t="str">
        <f>"600066"</f>
        <v>600066</v>
      </c>
      <c r="C25" s="1" t="str">
        <f>"宇通客车"</f>
        <v>宇通客车</v>
      </c>
      <c r="D25" s="1" t="str">
        <f>"担保品卖出"</f>
        <v>担保品卖出</v>
      </c>
      <c r="E25" s="1">
        <v>22.39</v>
      </c>
      <c r="F25" s="1">
        <v>500</v>
      </c>
      <c r="G25" s="1">
        <v>11195</v>
      </c>
      <c r="H25" s="1">
        <v>5</v>
      </c>
      <c r="I25" s="1">
        <v>4.23</v>
      </c>
      <c r="J25" s="1">
        <v>11.2</v>
      </c>
      <c r="K25" s="1">
        <v>0.22</v>
      </c>
      <c r="L25" s="1">
        <v>0</v>
      </c>
      <c r="M25" s="1">
        <v>0</v>
      </c>
      <c r="N25" s="1">
        <v>11178.58</v>
      </c>
      <c r="O25" s="1">
        <v>11560.92</v>
      </c>
      <c r="P25" s="1">
        <v>500</v>
      </c>
      <c r="Q25" s="1" t="str">
        <f>"E021635187"</f>
        <v>E021635187</v>
      </c>
      <c r="R25" s="1" t="str">
        <f t="shared" si="0"/>
        <v>人民币</v>
      </c>
      <c r="S25" s="1" t="str">
        <f>"0136000263"</f>
        <v>0136000263</v>
      </c>
    </row>
    <row r="26" spans="1:18">
      <c r="A26" s="1" t="str">
        <f t="shared" si="8"/>
        <v>20170801</v>
      </c>
      <c r="D26" s="1" t="str">
        <f>"偿还融资负债本金"</f>
        <v>偿还融资负债本金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-298.92</v>
      </c>
      <c r="O26" s="1">
        <v>11260.92</v>
      </c>
      <c r="P26" s="1">
        <v>0</v>
      </c>
      <c r="R26" s="1" t="str">
        <f t="shared" si="0"/>
        <v>人民币</v>
      </c>
    </row>
    <row r="27" spans="1:18">
      <c r="A27" s="1" t="str">
        <f t="shared" si="8"/>
        <v>20170801</v>
      </c>
      <c r="D27" s="1" t="str">
        <f>"偿还融资利息"</f>
        <v>偿还融资利息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-1.08</v>
      </c>
      <c r="O27" s="1">
        <v>11559.84</v>
      </c>
      <c r="P27" s="1">
        <v>0</v>
      </c>
      <c r="R27" s="1" t="str">
        <f t="shared" si="0"/>
        <v>人民币</v>
      </c>
    </row>
    <row r="28" spans="1:19">
      <c r="A28" s="1" t="str">
        <f t="shared" si="8"/>
        <v>20170801</v>
      </c>
      <c r="D28" s="1" t="str">
        <f>"偿还融资负债本金"</f>
        <v>偿还融资负债本金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-11077.39</v>
      </c>
      <c r="O28" s="1">
        <v>183.53</v>
      </c>
      <c r="P28" s="1">
        <v>0</v>
      </c>
      <c r="R28" s="1" t="str">
        <f t="shared" si="0"/>
        <v>人民币</v>
      </c>
      <c r="S28" s="1" t="str">
        <f>"0136000263"</f>
        <v>0136000263</v>
      </c>
    </row>
    <row r="29" spans="1:18">
      <c r="A29" s="1" t="str">
        <f t="shared" si="8"/>
        <v>20170801</v>
      </c>
      <c r="D29" s="1" t="str">
        <f>"偿还融资利息"</f>
        <v>偿还融资利息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-2.57</v>
      </c>
      <c r="O29" s="1">
        <v>180.96</v>
      </c>
      <c r="P29" s="1">
        <v>0</v>
      </c>
      <c r="R29" s="1" t="str">
        <f t="shared" si="0"/>
        <v>人民币</v>
      </c>
    </row>
    <row r="30" spans="1:19">
      <c r="A30" s="1" t="str">
        <f>"20170808"</f>
        <v>20170808</v>
      </c>
      <c r="B30" s="1" t="str">
        <f>"600066"</f>
        <v>600066</v>
      </c>
      <c r="C30" s="1" t="str">
        <f>"宇通客车"</f>
        <v>宇通客车</v>
      </c>
      <c r="D30" s="1" t="str">
        <f>"担保品卖出"</f>
        <v>担保品卖出</v>
      </c>
      <c r="E30" s="1">
        <v>22.018</v>
      </c>
      <c r="F30" s="1">
        <v>500</v>
      </c>
      <c r="G30" s="1">
        <v>11009</v>
      </c>
      <c r="H30" s="1">
        <v>5</v>
      </c>
      <c r="I30" s="1">
        <v>4.24</v>
      </c>
      <c r="J30" s="1">
        <v>11.01</v>
      </c>
      <c r="K30" s="1">
        <v>0.22</v>
      </c>
      <c r="L30" s="1">
        <v>0</v>
      </c>
      <c r="M30" s="1">
        <v>0</v>
      </c>
      <c r="N30" s="1">
        <v>10992.77</v>
      </c>
      <c r="O30" s="1">
        <v>11173.73</v>
      </c>
      <c r="P30" s="1">
        <v>0</v>
      </c>
      <c r="Q30" s="1" t="str">
        <f t="shared" ref="Q30:Q32" si="9">"E021635187"</f>
        <v>E021635187</v>
      </c>
      <c r="R30" s="1" t="str">
        <f t="shared" si="0"/>
        <v>人民币</v>
      </c>
      <c r="S30" s="1" t="str">
        <f>"0136000459"</f>
        <v>0136000459</v>
      </c>
    </row>
    <row r="31" spans="1:19">
      <c r="A31" s="1" t="str">
        <f>"20170808"</f>
        <v>20170808</v>
      </c>
      <c r="B31" s="1" t="str">
        <f>"601866"</f>
        <v>601866</v>
      </c>
      <c r="C31" s="1" t="str">
        <f>"中远海发"</f>
        <v>中远海发</v>
      </c>
      <c r="D31" s="1" t="str">
        <f>"担保品买入"</f>
        <v>担保品买入</v>
      </c>
      <c r="E31" s="1">
        <v>4.17</v>
      </c>
      <c r="F31" s="1">
        <v>2600</v>
      </c>
      <c r="G31" s="1">
        <v>10842</v>
      </c>
      <c r="H31" s="1">
        <v>5</v>
      </c>
      <c r="I31" s="1">
        <v>4.25</v>
      </c>
      <c r="J31" s="1">
        <v>0</v>
      </c>
      <c r="K31" s="1">
        <v>0.22</v>
      </c>
      <c r="L31" s="1">
        <v>0</v>
      </c>
      <c r="M31" s="1">
        <v>0</v>
      </c>
      <c r="N31" s="1">
        <v>-10847.22</v>
      </c>
      <c r="O31" s="1">
        <v>326.51</v>
      </c>
      <c r="P31" s="1">
        <v>2600</v>
      </c>
      <c r="Q31" s="1" t="str">
        <f t="shared" si="9"/>
        <v>E021635187</v>
      </c>
      <c r="R31" s="1" t="str">
        <f t="shared" si="0"/>
        <v>人民币</v>
      </c>
      <c r="S31" s="1" t="str">
        <f>"0136000469"</f>
        <v>0136000469</v>
      </c>
    </row>
    <row r="32" spans="1:19">
      <c r="A32" s="1" t="str">
        <f t="shared" ref="A32:A36" si="10">"20170809"</f>
        <v>20170809</v>
      </c>
      <c r="B32" s="1" t="str">
        <f>"601866"</f>
        <v>601866</v>
      </c>
      <c r="C32" s="1" t="str">
        <f>"中远海发"</f>
        <v>中远海发</v>
      </c>
      <c r="D32" s="1" t="str">
        <f>"担保品卖出"</f>
        <v>担保品卖出</v>
      </c>
      <c r="E32" s="1">
        <v>4.05</v>
      </c>
      <c r="F32" s="1">
        <v>2600</v>
      </c>
      <c r="G32" s="1">
        <v>10530</v>
      </c>
      <c r="H32" s="1">
        <v>5</v>
      </c>
      <c r="I32" s="1">
        <v>4.28</v>
      </c>
      <c r="J32" s="1">
        <v>10.54</v>
      </c>
      <c r="K32" s="1">
        <v>0.21</v>
      </c>
      <c r="L32" s="1">
        <v>0</v>
      </c>
      <c r="M32" s="1">
        <v>0</v>
      </c>
      <c r="N32" s="1">
        <v>10514.25</v>
      </c>
      <c r="O32" s="1">
        <v>10840.76</v>
      </c>
      <c r="P32" s="1">
        <v>0</v>
      </c>
      <c r="Q32" s="1" t="str">
        <f t="shared" si="9"/>
        <v>E021635187</v>
      </c>
      <c r="R32" s="1" t="str">
        <f t="shared" si="0"/>
        <v>人民币</v>
      </c>
      <c r="S32" s="1" t="str">
        <f>"0136000101"</f>
        <v>0136000101</v>
      </c>
    </row>
    <row r="33" spans="1:18">
      <c r="A33" s="1" t="str">
        <f t="shared" si="10"/>
        <v>20170809</v>
      </c>
      <c r="D33" s="1" t="str">
        <f>"偿还融资负债本金"</f>
        <v>偿还融资负债本金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-81.01</v>
      </c>
      <c r="O33" s="1">
        <v>10759.59</v>
      </c>
      <c r="P33" s="1">
        <v>0</v>
      </c>
      <c r="R33" s="1" t="str">
        <f t="shared" si="0"/>
        <v>人民币</v>
      </c>
    </row>
    <row r="34" spans="1:18">
      <c r="A34" s="1" t="str">
        <f t="shared" si="10"/>
        <v>20170809</v>
      </c>
      <c r="D34" s="1" t="str">
        <f>"偿还融资利息"</f>
        <v>偿还融资利息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-0.16</v>
      </c>
      <c r="O34" s="1">
        <v>10840.6</v>
      </c>
      <c r="P34" s="1">
        <v>0</v>
      </c>
      <c r="R34" s="1" t="str">
        <f t="shared" si="0"/>
        <v>人民币</v>
      </c>
    </row>
    <row r="35" spans="1:18">
      <c r="A35" s="1" t="str">
        <f t="shared" si="10"/>
        <v>20170809</v>
      </c>
      <c r="D35" s="1" t="str">
        <f>"偿还融资负债本金"</f>
        <v>偿还融资负债本金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-9720.83</v>
      </c>
      <c r="O35" s="1">
        <v>840.76</v>
      </c>
      <c r="P35" s="1">
        <v>0</v>
      </c>
      <c r="R35" s="1" t="str">
        <f t="shared" si="0"/>
        <v>人民币</v>
      </c>
    </row>
    <row r="36" spans="1:18">
      <c r="A36" s="1" t="str">
        <f t="shared" si="10"/>
        <v>20170809</v>
      </c>
      <c r="D36" s="1" t="str">
        <f>"偿还融资利息"</f>
        <v>偿还融资利息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-198</v>
      </c>
      <c r="O36" s="1">
        <v>10561.59</v>
      </c>
      <c r="P36" s="1">
        <v>0</v>
      </c>
      <c r="R36" s="1" t="str">
        <f t="shared" si="0"/>
        <v>人民币</v>
      </c>
    </row>
    <row r="37" spans="1:19">
      <c r="A37" s="1" t="str">
        <f t="shared" ref="A37:A40" si="11">"20170814"</f>
        <v>20170814</v>
      </c>
      <c r="B37" s="1" t="str">
        <f>"000667"</f>
        <v>000667</v>
      </c>
      <c r="C37" s="1" t="str">
        <f>"美好置业"</f>
        <v>美好置业</v>
      </c>
      <c r="D37" s="1" t="str">
        <f>"融资买入"</f>
        <v>融资买入</v>
      </c>
      <c r="E37" s="1">
        <v>3.35</v>
      </c>
      <c r="F37" s="1">
        <v>9000</v>
      </c>
      <c r="G37" s="1">
        <v>30150</v>
      </c>
      <c r="H37" s="1">
        <v>15.08</v>
      </c>
      <c r="I37" s="1">
        <v>12.41</v>
      </c>
      <c r="J37" s="1">
        <v>0</v>
      </c>
      <c r="K37" s="1">
        <v>0</v>
      </c>
      <c r="L37" s="1">
        <v>0</v>
      </c>
      <c r="M37" s="1">
        <v>0</v>
      </c>
      <c r="N37" s="1">
        <v>-30165.08</v>
      </c>
      <c r="O37" s="1">
        <v>-29324.32</v>
      </c>
      <c r="P37" s="1">
        <v>16000</v>
      </c>
      <c r="Q37" s="1" t="str">
        <f>"0602175409"</f>
        <v>0602175409</v>
      </c>
      <c r="R37" s="1" t="str">
        <f t="shared" si="0"/>
        <v>人民币</v>
      </c>
      <c r="S37" s="1" t="str">
        <f>"T4000531"</f>
        <v>T4000531</v>
      </c>
    </row>
    <row r="38" spans="1:19">
      <c r="A38" s="1" t="str">
        <f t="shared" si="11"/>
        <v>20170814</v>
      </c>
      <c r="B38" s="1" t="str">
        <f>"600886"</f>
        <v>600886</v>
      </c>
      <c r="C38" s="1" t="str">
        <f>"国投电力"</f>
        <v>国投电力</v>
      </c>
      <c r="D38" s="1" t="str">
        <f>"融资买入"</f>
        <v>融资买入</v>
      </c>
      <c r="E38" s="1">
        <v>7.74</v>
      </c>
      <c r="F38" s="1">
        <v>3000</v>
      </c>
      <c r="G38" s="1">
        <v>23220</v>
      </c>
      <c r="H38" s="1">
        <v>11.61</v>
      </c>
      <c r="I38" s="1">
        <v>10.02</v>
      </c>
      <c r="J38" s="1">
        <v>0</v>
      </c>
      <c r="K38" s="1">
        <v>0.46</v>
      </c>
      <c r="L38" s="1">
        <v>0</v>
      </c>
      <c r="M38" s="1">
        <v>0</v>
      </c>
      <c r="N38" s="1">
        <v>-23232.07</v>
      </c>
      <c r="O38" s="1">
        <v>-52556.39</v>
      </c>
      <c r="P38" s="1">
        <v>27800</v>
      </c>
      <c r="Q38" s="1" t="str">
        <f>"E021635187"</f>
        <v>E021635187</v>
      </c>
      <c r="R38" s="1" t="str">
        <f t="shared" si="0"/>
        <v>人民币</v>
      </c>
      <c r="S38" s="1" t="str">
        <f>"0136000777"</f>
        <v>0136000777</v>
      </c>
    </row>
    <row r="39" spans="1:19">
      <c r="A39" s="1" t="str">
        <f t="shared" si="11"/>
        <v>20170814</v>
      </c>
      <c r="D39" s="1" t="str">
        <f>"融资借入"</f>
        <v>融资借入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23232.07</v>
      </c>
      <c r="O39" s="1">
        <v>-29324.32</v>
      </c>
      <c r="P39" s="1">
        <v>0</v>
      </c>
      <c r="R39" s="1" t="str">
        <f t="shared" si="0"/>
        <v>人民币</v>
      </c>
      <c r="S39" s="1" t="str">
        <f>"0136000777"</f>
        <v>0136000777</v>
      </c>
    </row>
    <row r="40" spans="1:19">
      <c r="A40" s="1" t="str">
        <f t="shared" si="11"/>
        <v>20170814</v>
      </c>
      <c r="D40" s="1" t="str">
        <f>"融资借入"</f>
        <v>融资借入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30165.08</v>
      </c>
      <c r="O40" s="1">
        <v>840.76</v>
      </c>
      <c r="P40" s="1">
        <v>0</v>
      </c>
      <c r="R40" s="1" t="str">
        <f t="shared" si="0"/>
        <v>人民币</v>
      </c>
      <c r="S40" s="1" t="str">
        <f>"T4000531"</f>
        <v>T4000531</v>
      </c>
    </row>
    <row r="41" spans="1:19">
      <c r="A41" s="1" t="str">
        <f t="shared" ref="A41:A43" si="12">"20170815"</f>
        <v>20170815</v>
      </c>
      <c r="B41" s="1" t="str">
        <f>"600886"</f>
        <v>600886</v>
      </c>
      <c r="C41" s="1" t="str">
        <f>"国投电力"</f>
        <v>国投电力</v>
      </c>
      <c r="D41" s="1" t="str">
        <f>"担保品卖出"</f>
        <v>担保品卖出</v>
      </c>
      <c r="E41" s="1">
        <v>7.82</v>
      </c>
      <c r="F41" s="1">
        <v>3000</v>
      </c>
      <c r="G41" s="1">
        <v>23460</v>
      </c>
      <c r="H41" s="1">
        <v>7.27</v>
      </c>
      <c r="I41" s="1">
        <v>5.65</v>
      </c>
      <c r="J41" s="1">
        <v>23.46</v>
      </c>
      <c r="K41" s="1">
        <v>0.47</v>
      </c>
      <c r="L41" s="1">
        <v>0</v>
      </c>
      <c r="M41" s="1">
        <v>0</v>
      </c>
      <c r="N41" s="1">
        <v>23428.8</v>
      </c>
      <c r="O41" s="1">
        <v>24269.56</v>
      </c>
      <c r="P41" s="1">
        <v>24800</v>
      </c>
      <c r="Q41" s="1" t="str">
        <f>"E021635187"</f>
        <v>E021635187</v>
      </c>
      <c r="R41" s="1" t="str">
        <f t="shared" si="0"/>
        <v>人民币</v>
      </c>
      <c r="S41" s="1" t="str">
        <f>"0136000319"</f>
        <v>0136000319</v>
      </c>
    </row>
    <row r="42" spans="1:19">
      <c r="A42" s="1" t="str">
        <f t="shared" si="12"/>
        <v>20170815</v>
      </c>
      <c r="D42" s="1" t="str">
        <f t="shared" ref="D42:D47" si="13">"偿还融资负债本金"</f>
        <v>偿还融资负债本金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-23232.07</v>
      </c>
      <c r="O42" s="1">
        <v>1037.49</v>
      </c>
      <c r="P42" s="1">
        <v>0</v>
      </c>
      <c r="R42" s="1" t="str">
        <f t="shared" si="0"/>
        <v>人民币</v>
      </c>
      <c r="S42" s="1" t="str">
        <f>"0136000319"</f>
        <v>0136000319</v>
      </c>
    </row>
    <row r="43" spans="1:18">
      <c r="A43" s="1" t="str">
        <f t="shared" si="12"/>
        <v>20170815</v>
      </c>
      <c r="D43" s="1" t="str">
        <f t="shared" ref="D43:D48" si="14">"偿还融资利息"</f>
        <v>偿还融资利息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-5.39</v>
      </c>
      <c r="O43" s="1">
        <v>1032.1</v>
      </c>
      <c r="P43" s="1">
        <v>0</v>
      </c>
      <c r="R43" s="1" t="str">
        <f t="shared" si="0"/>
        <v>人民币</v>
      </c>
    </row>
    <row r="44" spans="1:19">
      <c r="A44" s="1" t="str">
        <f t="shared" ref="A44:A48" si="15">"20170816"</f>
        <v>20170816</v>
      </c>
      <c r="B44" s="1" t="str">
        <f>"000667"</f>
        <v>000667</v>
      </c>
      <c r="C44" s="1" t="str">
        <f>"美好置业"</f>
        <v>美好置业</v>
      </c>
      <c r="D44" s="1" t="str">
        <f>"担保品卖出"</f>
        <v>担保品卖出</v>
      </c>
      <c r="E44" s="1">
        <v>3.37</v>
      </c>
      <c r="F44" s="1">
        <v>9000</v>
      </c>
      <c r="G44" s="1">
        <v>30330</v>
      </c>
      <c r="H44" s="1">
        <v>9.4</v>
      </c>
      <c r="I44" s="1">
        <v>6.7</v>
      </c>
      <c r="J44" s="1">
        <v>30.33</v>
      </c>
      <c r="K44" s="1">
        <v>0</v>
      </c>
      <c r="L44" s="1">
        <v>0</v>
      </c>
      <c r="M44" s="1">
        <v>0</v>
      </c>
      <c r="N44" s="1">
        <v>30290.27</v>
      </c>
      <c r="O44" s="1">
        <v>31322.37</v>
      </c>
      <c r="P44" s="1">
        <v>7000</v>
      </c>
      <c r="Q44" s="1" t="str">
        <f>"0602175409"</f>
        <v>0602175409</v>
      </c>
      <c r="R44" s="1" t="str">
        <f t="shared" si="0"/>
        <v>人民币</v>
      </c>
      <c r="S44" s="1" t="str">
        <f>"T4000422"</f>
        <v>T4000422</v>
      </c>
    </row>
    <row r="45" spans="1:18">
      <c r="A45" s="1" t="str">
        <f t="shared" si="15"/>
        <v>20170816</v>
      </c>
      <c r="D45" s="1" t="str">
        <f t="shared" si="13"/>
        <v>偿还融资负债本金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-981.32</v>
      </c>
      <c r="O45" s="1">
        <v>30322.37</v>
      </c>
      <c r="P45" s="1">
        <v>0</v>
      </c>
      <c r="R45" s="1" t="str">
        <f t="shared" si="0"/>
        <v>人民币</v>
      </c>
    </row>
    <row r="46" spans="1:18">
      <c r="A46" s="1" t="str">
        <f t="shared" si="15"/>
        <v>20170816</v>
      </c>
      <c r="D46" s="1" t="str">
        <f t="shared" si="14"/>
        <v>偿还融资利息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-18.68</v>
      </c>
      <c r="O46" s="1">
        <v>31303.69</v>
      </c>
      <c r="P46" s="1">
        <v>0</v>
      </c>
      <c r="R46" s="1" t="str">
        <f t="shared" si="0"/>
        <v>人民币</v>
      </c>
    </row>
    <row r="47" spans="1:19">
      <c r="A47" s="1" t="str">
        <f t="shared" si="15"/>
        <v>20170816</v>
      </c>
      <c r="D47" s="1" t="str">
        <f t="shared" si="13"/>
        <v>偿还融资负债本金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-30165.08</v>
      </c>
      <c r="O47" s="1">
        <v>157.29</v>
      </c>
      <c r="P47" s="1">
        <v>0</v>
      </c>
      <c r="R47" s="1" t="str">
        <f t="shared" si="0"/>
        <v>人民币</v>
      </c>
      <c r="S47" s="1" t="str">
        <f>"T4000422"</f>
        <v>T4000422</v>
      </c>
    </row>
    <row r="48" spans="1:18">
      <c r="A48" s="1" t="str">
        <f t="shared" si="15"/>
        <v>20170816</v>
      </c>
      <c r="D48" s="1" t="str">
        <f t="shared" si="14"/>
        <v>偿还融资利息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-14</v>
      </c>
      <c r="O48" s="1">
        <v>143.29</v>
      </c>
      <c r="P48" s="1">
        <v>0</v>
      </c>
      <c r="R48" s="1" t="str">
        <f t="shared" si="0"/>
        <v>人民币</v>
      </c>
    </row>
    <row r="49" spans="1:18">
      <c r="A49" s="1" t="str">
        <f>"20170817"</f>
        <v>20170817</v>
      </c>
      <c r="B49" s="1" t="str">
        <f>"000667"</f>
        <v>000667</v>
      </c>
      <c r="C49" s="1" t="str">
        <f>"美好置业"</f>
        <v>美好置业</v>
      </c>
      <c r="D49" s="1" t="str">
        <f>"股息红利差异扣税"</f>
        <v>股息红利差异扣税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-5</v>
      </c>
      <c r="O49" s="1">
        <v>138.29</v>
      </c>
      <c r="P49" s="1">
        <v>0</v>
      </c>
      <c r="Q49" s="1" t="str">
        <f t="shared" ref="Q49:Q53" si="16">"0602175409"</f>
        <v>0602175409</v>
      </c>
      <c r="R49" s="1" t="str">
        <f t="shared" si="0"/>
        <v>人民币</v>
      </c>
    </row>
    <row r="50" spans="1:19">
      <c r="A50" s="1" t="str">
        <f>"20170823"</f>
        <v>20170823</v>
      </c>
      <c r="B50" s="1" t="str">
        <f>"000768"</f>
        <v>000768</v>
      </c>
      <c r="C50" s="1" t="str">
        <f>"中航飞机"</f>
        <v>中航飞机</v>
      </c>
      <c r="D50" s="1" t="str">
        <f>"融资买入"</f>
        <v>融资买入</v>
      </c>
      <c r="E50" s="1">
        <v>19.1</v>
      </c>
      <c r="F50" s="1">
        <v>500</v>
      </c>
      <c r="G50" s="1">
        <v>9550</v>
      </c>
      <c r="H50" s="1">
        <v>5</v>
      </c>
      <c r="I50" s="1">
        <v>4.15</v>
      </c>
      <c r="J50" s="1">
        <v>0</v>
      </c>
      <c r="K50" s="1">
        <v>0</v>
      </c>
      <c r="L50" s="1">
        <v>0</v>
      </c>
      <c r="M50" s="1">
        <v>0</v>
      </c>
      <c r="N50" s="1">
        <v>-9555</v>
      </c>
      <c r="O50" s="1">
        <v>-9416.71</v>
      </c>
      <c r="P50" s="1">
        <v>500</v>
      </c>
      <c r="Q50" s="1" t="str">
        <f t="shared" si="16"/>
        <v>0602175409</v>
      </c>
      <c r="R50" s="1" t="str">
        <f t="shared" si="0"/>
        <v>人民币</v>
      </c>
      <c r="S50" s="1" t="str">
        <f>"T4000967"</f>
        <v>T4000967</v>
      </c>
    </row>
    <row r="51" spans="1:19">
      <c r="A51" s="1" t="str">
        <f>"20170823"</f>
        <v>20170823</v>
      </c>
      <c r="D51" s="1" t="str">
        <f>"融资借入"</f>
        <v>融资借入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9555</v>
      </c>
      <c r="O51" s="1">
        <v>138.29</v>
      </c>
      <c r="P51" s="1">
        <v>0</v>
      </c>
      <c r="R51" s="1" t="str">
        <f t="shared" si="0"/>
        <v>人民币</v>
      </c>
      <c r="S51" s="1" t="str">
        <f>"T4000967"</f>
        <v>T4000967</v>
      </c>
    </row>
    <row r="52" spans="1:18">
      <c r="A52" s="1" t="str">
        <f t="shared" ref="A52:A58" si="17">"20170824"</f>
        <v>20170824</v>
      </c>
      <c r="B52" s="1" t="str">
        <f>"600886"</f>
        <v>600886</v>
      </c>
      <c r="C52" s="1" t="str">
        <f>"国投电力"</f>
        <v>国投电力</v>
      </c>
      <c r="D52" s="1" t="str">
        <f>"红利入账"</f>
        <v>红利入账</v>
      </c>
      <c r="E52" s="1">
        <v>0</v>
      </c>
      <c r="F52" s="1">
        <v>27800</v>
      </c>
      <c r="G52" s="1">
        <v>5615.6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5615.6</v>
      </c>
      <c r="O52" s="1">
        <v>5753.89</v>
      </c>
      <c r="P52" s="1">
        <v>0</v>
      </c>
      <c r="Q52" s="1" t="str">
        <f>"E021635187"</f>
        <v>E021635187</v>
      </c>
      <c r="R52" s="1" t="str">
        <f t="shared" si="0"/>
        <v>人民币</v>
      </c>
    </row>
    <row r="53" spans="1:19">
      <c r="A53" s="1" t="str">
        <f t="shared" si="17"/>
        <v>20170824</v>
      </c>
      <c r="B53" s="1" t="str">
        <f>"000768"</f>
        <v>000768</v>
      </c>
      <c r="C53" s="1" t="str">
        <f>"中航飞机"</f>
        <v>中航飞机</v>
      </c>
      <c r="D53" s="1" t="str">
        <f>"担保品卖出"</f>
        <v>担保品卖出</v>
      </c>
      <c r="E53" s="1">
        <v>18.96</v>
      </c>
      <c r="F53" s="1">
        <v>500</v>
      </c>
      <c r="G53" s="1">
        <v>9480</v>
      </c>
      <c r="H53" s="1">
        <v>5</v>
      </c>
      <c r="I53" s="1">
        <v>4.16</v>
      </c>
      <c r="J53" s="1">
        <v>9.48</v>
      </c>
      <c r="K53" s="1">
        <v>0</v>
      </c>
      <c r="L53" s="1">
        <v>0</v>
      </c>
      <c r="M53" s="1">
        <v>0</v>
      </c>
      <c r="N53" s="1">
        <v>9465.52</v>
      </c>
      <c r="O53" s="1">
        <v>15219.41</v>
      </c>
      <c r="P53" s="1">
        <v>0</v>
      </c>
      <c r="Q53" s="1" t="str">
        <f t="shared" si="16"/>
        <v>0602175409</v>
      </c>
      <c r="R53" s="1" t="str">
        <f t="shared" si="0"/>
        <v>人民币</v>
      </c>
      <c r="S53" s="1" t="str">
        <f>"T4000466"</f>
        <v>T4000466</v>
      </c>
    </row>
    <row r="54" spans="1:19">
      <c r="A54" s="1" t="str">
        <f t="shared" si="17"/>
        <v>20170824</v>
      </c>
      <c r="B54" s="1" t="str">
        <f>"600886"</f>
        <v>600886</v>
      </c>
      <c r="C54" s="1" t="str">
        <f>"国投电力"</f>
        <v>国投电力</v>
      </c>
      <c r="D54" s="1" t="str">
        <f>"融资买入"</f>
        <v>融资买入</v>
      </c>
      <c r="E54" s="1">
        <v>7.73</v>
      </c>
      <c r="F54" s="1">
        <v>3000</v>
      </c>
      <c r="G54" s="1">
        <v>23190</v>
      </c>
      <c r="H54" s="1">
        <v>11.6</v>
      </c>
      <c r="I54" s="1">
        <v>10.01</v>
      </c>
      <c r="J54" s="1">
        <v>0</v>
      </c>
      <c r="K54" s="1">
        <v>0.46</v>
      </c>
      <c r="L54" s="1">
        <v>0</v>
      </c>
      <c r="M54" s="1">
        <v>0</v>
      </c>
      <c r="N54" s="1">
        <v>-23202.06</v>
      </c>
      <c r="O54" s="1">
        <v>-7982.65</v>
      </c>
      <c r="P54" s="1">
        <v>27800</v>
      </c>
      <c r="Q54" s="1" t="str">
        <f>"E021635187"</f>
        <v>E021635187</v>
      </c>
      <c r="R54" s="1" t="str">
        <f t="shared" si="0"/>
        <v>人民币</v>
      </c>
      <c r="S54" s="1" t="str">
        <f>"0136000554"</f>
        <v>0136000554</v>
      </c>
    </row>
    <row r="55" spans="1:19">
      <c r="A55" s="1" t="str">
        <f t="shared" si="17"/>
        <v>20170824</v>
      </c>
      <c r="D55" s="1" t="str">
        <f>"融资借入"</f>
        <v>融资借入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23202.06</v>
      </c>
      <c r="O55" s="1">
        <v>15219.41</v>
      </c>
      <c r="P55" s="1">
        <v>0</v>
      </c>
      <c r="R55" s="1" t="str">
        <f t="shared" si="0"/>
        <v>人民币</v>
      </c>
      <c r="S55" s="1" t="str">
        <f>"0136000554"</f>
        <v>0136000554</v>
      </c>
    </row>
    <row r="56" spans="1:18">
      <c r="A56" s="1" t="str">
        <f t="shared" si="17"/>
        <v>20170824</v>
      </c>
      <c r="D56" s="1" t="str">
        <f t="shared" ref="D56:D59" si="18">"偿还融资负债本金"</f>
        <v>偿还融资负债本金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-80.48</v>
      </c>
      <c r="O56" s="1">
        <v>15119.41</v>
      </c>
      <c r="P56" s="1">
        <v>0</v>
      </c>
      <c r="R56" s="1" t="str">
        <f t="shared" si="0"/>
        <v>人民币</v>
      </c>
    </row>
    <row r="57" spans="1:18">
      <c r="A57" s="1" t="str">
        <f t="shared" si="17"/>
        <v>20170824</v>
      </c>
      <c r="D57" s="1" t="str">
        <f>"偿还融资利息"</f>
        <v>偿还融资利息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-19.52</v>
      </c>
      <c r="O57" s="1">
        <v>15199.89</v>
      </c>
      <c r="P57" s="1">
        <v>0</v>
      </c>
      <c r="R57" s="1" t="str">
        <f t="shared" si="0"/>
        <v>人民币</v>
      </c>
    </row>
    <row r="58" spans="1:19">
      <c r="A58" s="1" t="str">
        <f t="shared" si="17"/>
        <v>20170824</v>
      </c>
      <c r="D58" s="1" t="str">
        <f t="shared" si="18"/>
        <v>偿还融资负债本金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-9442.08</v>
      </c>
      <c r="O58" s="1">
        <v>5677.33</v>
      </c>
      <c r="P58" s="1">
        <v>0</v>
      </c>
      <c r="R58" s="1" t="str">
        <f t="shared" si="0"/>
        <v>人民币</v>
      </c>
      <c r="S58" s="1" t="str">
        <f>"T4000466"</f>
        <v>T4000466</v>
      </c>
    </row>
    <row r="59" spans="1:18">
      <c r="A59" s="1" t="str">
        <f>"20170825"</f>
        <v>20170825</v>
      </c>
      <c r="D59" s="1" t="str">
        <f t="shared" si="18"/>
        <v>偿还融资负债本金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-5597.58</v>
      </c>
      <c r="O59" s="1">
        <v>77.33</v>
      </c>
      <c r="P59" s="1">
        <v>0</v>
      </c>
      <c r="R59" s="1" t="str">
        <f t="shared" si="0"/>
        <v>人民币</v>
      </c>
    </row>
    <row r="60" spans="1:18">
      <c r="A60" s="1" t="str">
        <f>"20170825"</f>
        <v>20170825</v>
      </c>
      <c r="D60" s="1" t="str">
        <f>"偿还融资利息"</f>
        <v>偿还融资利息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-2.42</v>
      </c>
      <c r="O60" s="1">
        <v>5674.91</v>
      </c>
      <c r="P60" s="1">
        <v>0</v>
      </c>
      <c r="R60" s="1" t="str">
        <f t="shared" si="0"/>
        <v>人民币</v>
      </c>
    </row>
    <row r="61" spans="1:19">
      <c r="A61" s="1" t="str">
        <f>"20170831"</f>
        <v>20170831</v>
      </c>
      <c r="B61" s="1" t="str">
        <f>"600066"</f>
        <v>600066</v>
      </c>
      <c r="C61" s="1" t="str">
        <f>"宇通客车"</f>
        <v>宇通客车</v>
      </c>
      <c r="D61" s="1" t="str">
        <f>"融资买入"</f>
        <v>融资买入</v>
      </c>
      <c r="E61" s="1">
        <v>20.39</v>
      </c>
      <c r="F61" s="1">
        <v>500</v>
      </c>
      <c r="G61" s="1">
        <v>10195</v>
      </c>
      <c r="H61" s="1">
        <v>5.1</v>
      </c>
      <c r="I61" s="1">
        <v>4.4</v>
      </c>
      <c r="J61" s="1">
        <v>0</v>
      </c>
      <c r="K61" s="1">
        <v>0.2</v>
      </c>
      <c r="L61" s="1">
        <v>0</v>
      </c>
      <c r="M61" s="1">
        <v>0</v>
      </c>
      <c r="N61" s="1">
        <v>-10200.3</v>
      </c>
      <c r="O61" s="1">
        <v>-10122.97</v>
      </c>
      <c r="P61" s="1">
        <v>500</v>
      </c>
      <c r="Q61" s="1" t="str">
        <f>"E021635187"</f>
        <v>E021635187</v>
      </c>
      <c r="R61" s="1" t="str">
        <f t="shared" si="0"/>
        <v>人民币</v>
      </c>
      <c r="S61" s="1" t="str">
        <f>"0136000582"</f>
        <v>0136000582</v>
      </c>
    </row>
    <row r="62" spans="1:19">
      <c r="A62" s="1" t="str">
        <f>"20170831"</f>
        <v>20170831</v>
      </c>
      <c r="D62" s="1" t="str">
        <f>"融资借入"</f>
        <v>融资借入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10200.3</v>
      </c>
      <c r="O62" s="1">
        <v>77.33</v>
      </c>
      <c r="P62" s="1">
        <v>0</v>
      </c>
      <c r="R62" s="1" t="str">
        <f t="shared" si="0"/>
        <v>人民币</v>
      </c>
      <c r="S62" s="1" t="str">
        <f>"0136000582"</f>
        <v>0136000582</v>
      </c>
    </row>
    <row r="63" spans="1:19">
      <c r="A63" s="1" t="str">
        <f t="shared" ref="A63:A67" si="19">"20170901"</f>
        <v>20170901</v>
      </c>
      <c r="B63" s="1" t="str">
        <f>"600066"</f>
        <v>600066</v>
      </c>
      <c r="C63" s="1" t="str">
        <f>"宇通客车"</f>
        <v>宇通客车</v>
      </c>
      <c r="D63" s="1" t="str">
        <f>"担保品卖出"</f>
        <v>担保品卖出</v>
      </c>
      <c r="E63" s="1">
        <v>20.74</v>
      </c>
      <c r="F63" s="1">
        <v>500</v>
      </c>
      <c r="G63" s="1">
        <v>10370</v>
      </c>
      <c r="H63" s="1">
        <v>5</v>
      </c>
      <c r="I63" s="1">
        <v>4.28</v>
      </c>
      <c r="J63" s="1">
        <v>10.37</v>
      </c>
      <c r="K63" s="1">
        <v>0.21</v>
      </c>
      <c r="L63" s="1">
        <v>0</v>
      </c>
      <c r="M63" s="1">
        <v>0</v>
      </c>
      <c r="N63" s="1">
        <v>10354.42</v>
      </c>
      <c r="O63" s="1">
        <v>10431.75</v>
      </c>
      <c r="P63" s="1">
        <v>0</v>
      </c>
      <c r="Q63" s="1" t="str">
        <f>"E021635187"</f>
        <v>E021635187</v>
      </c>
      <c r="R63" s="1" t="str">
        <f t="shared" si="0"/>
        <v>人民币</v>
      </c>
      <c r="S63" s="1" t="str">
        <f>"0136000372"</f>
        <v>0136000372</v>
      </c>
    </row>
    <row r="64" spans="1:18">
      <c r="A64" s="1" t="str">
        <f t="shared" si="19"/>
        <v>20170901</v>
      </c>
      <c r="D64" s="1" t="str">
        <f t="shared" ref="D64:D70" si="20">"偿还融资负债本金"</f>
        <v>偿还融资负债本金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-192.16</v>
      </c>
      <c r="O64" s="1">
        <v>10231.75</v>
      </c>
      <c r="P64" s="1">
        <v>0</v>
      </c>
      <c r="R64" s="1" t="str">
        <f t="shared" si="0"/>
        <v>人民币</v>
      </c>
    </row>
    <row r="65" spans="1:18">
      <c r="A65" s="1" t="str">
        <f t="shared" si="19"/>
        <v>20170901</v>
      </c>
      <c r="D65" s="1" t="str">
        <f>"偿还融资利息"</f>
        <v>偿还融资利息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-7.84</v>
      </c>
      <c r="O65" s="1">
        <v>10423.91</v>
      </c>
      <c r="P65" s="1">
        <v>0</v>
      </c>
      <c r="R65" s="1" t="str">
        <f t="shared" si="0"/>
        <v>人民币</v>
      </c>
    </row>
    <row r="66" spans="1:19">
      <c r="A66" s="1" t="str">
        <f t="shared" si="19"/>
        <v>20170901</v>
      </c>
      <c r="D66" s="1" t="str">
        <f t="shared" si="20"/>
        <v>偿还融资负债本金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-10200.3</v>
      </c>
      <c r="O66" s="1">
        <v>31.45</v>
      </c>
      <c r="P66" s="1">
        <v>0</v>
      </c>
      <c r="R66" s="1" t="str">
        <f t="shared" ref="R66:R119" si="21">"人民币"</f>
        <v>人民币</v>
      </c>
      <c r="S66" s="1" t="str">
        <f>"0136000372"</f>
        <v>0136000372</v>
      </c>
    </row>
    <row r="67" spans="1:18">
      <c r="A67" s="1" t="str">
        <f t="shared" si="19"/>
        <v>20170901</v>
      </c>
      <c r="D67" s="1" t="str">
        <f>"偿还融资利息"</f>
        <v>偿还融资利息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-2.37</v>
      </c>
      <c r="O67" s="1">
        <v>29.08</v>
      </c>
      <c r="P67" s="1">
        <v>0</v>
      </c>
      <c r="R67" s="1" t="str">
        <f t="shared" si="21"/>
        <v>人民币</v>
      </c>
    </row>
    <row r="68" spans="1:19">
      <c r="A68" s="1" t="str">
        <f t="shared" ref="A68:A71" si="22">"20170906"</f>
        <v>20170906</v>
      </c>
      <c r="B68" s="1" t="str">
        <f>"002183"</f>
        <v>002183</v>
      </c>
      <c r="C68" s="1" t="str">
        <f>"怡 亚 通"</f>
        <v>怡 亚 通</v>
      </c>
      <c r="D68" s="1" t="str">
        <f>"担保品卖出"</f>
        <v>担保品卖出</v>
      </c>
      <c r="E68" s="1">
        <v>9.28</v>
      </c>
      <c r="F68" s="1">
        <v>2500</v>
      </c>
      <c r="G68" s="1">
        <v>23200</v>
      </c>
      <c r="H68" s="1">
        <v>7.19</v>
      </c>
      <c r="I68" s="1">
        <v>5.14</v>
      </c>
      <c r="J68" s="1">
        <v>23.2</v>
      </c>
      <c r="K68" s="1">
        <v>0</v>
      </c>
      <c r="L68" s="1">
        <v>0</v>
      </c>
      <c r="M68" s="1">
        <v>0</v>
      </c>
      <c r="N68" s="1">
        <v>23169.61</v>
      </c>
      <c r="O68" s="1">
        <v>23198.69</v>
      </c>
      <c r="P68" s="1">
        <v>5000</v>
      </c>
      <c r="Q68" s="1" t="str">
        <f t="shared" ref="Q68:Q74" si="23">"0602175409"</f>
        <v>0602175409</v>
      </c>
      <c r="R68" s="1" t="str">
        <f t="shared" si="21"/>
        <v>人民币</v>
      </c>
      <c r="S68" s="1" t="str">
        <f t="shared" ref="S68:S70" si="24">"T4001292"</f>
        <v>T4001292</v>
      </c>
    </row>
    <row r="69" spans="1:19">
      <c r="A69" s="1" t="str">
        <f t="shared" si="22"/>
        <v>20170906</v>
      </c>
      <c r="D69" s="1" t="str">
        <f t="shared" si="20"/>
        <v>偿还融资负债本金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-4638.78</v>
      </c>
      <c r="O69" s="1">
        <v>18559.91</v>
      </c>
      <c r="P69" s="1">
        <v>0</v>
      </c>
      <c r="R69" s="1" t="str">
        <f t="shared" si="21"/>
        <v>人民币</v>
      </c>
      <c r="S69" s="1" t="str">
        <f t="shared" si="24"/>
        <v>T4001292</v>
      </c>
    </row>
    <row r="70" spans="1:19">
      <c r="A70" s="1" t="str">
        <f t="shared" si="22"/>
        <v>20170906</v>
      </c>
      <c r="D70" s="1" t="str">
        <f t="shared" si="20"/>
        <v>偿还融资负债本金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-18468.42</v>
      </c>
      <c r="O70" s="1">
        <v>91.49</v>
      </c>
      <c r="P70" s="1">
        <v>0</v>
      </c>
      <c r="R70" s="1" t="str">
        <f t="shared" si="21"/>
        <v>人民币</v>
      </c>
      <c r="S70" s="1" t="str">
        <f t="shared" si="24"/>
        <v>T4001292</v>
      </c>
    </row>
    <row r="71" spans="1:18">
      <c r="A71" s="1" t="str">
        <f t="shared" si="22"/>
        <v>20170906</v>
      </c>
      <c r="D71" s="1" t="str">
        <f>"偿还融资利息"</f>
        <v>偿还融资利息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-5.39</v>
      </c>
      <c r="O71" s="1">
        <v>86.1</v>
      </c>
      <c r="P71" s="1">
        <v>0</v>
      </c>
      <c r="R71" s="1" t="str">
        <f t="shared" si="21"/>
        <v>人民币</v>
      </c>
    </row>
    <row r="72" spans="1:19">
      <c r="A72" s="1" t="str">
        <f t="shared" ref="A72:A79" si="25">"20170907"</f>
        <v>20170907</v>
      </c>
      <c r="B72" s="1" t="str">
        <f>"002183"</f>
        <v>002183</v>
      </c>
      <c r="C72" s="1" t="str">
        <f>"怡 亚 通"</f>
        <v>怡 亚 通</v>
      </c>
      <c r="D72" s="1" t="str">
        <f>"融资买入"</f>
        <v>融资买入</v>
      </c>
      <c r="E72" s="1">
        <v>9.22</v>
      </c>
      <c r="F72" s="1">
        <v>2500</v>
      </c>
      <c r="G72" s="1">
        <v>23050</v>
      </c>
      <c r="H72" s="1">
        <v>11.53</v>
      </c>
      <c r="I72" s="1">
        <v>9.49</v>
      </c>
      <c r="J72" s="1">
        <v>0</v>
      </c>
      <c r="K72" s="1">
        <v>0</v>
      </c>
      <c r="L72" s="1">
        <v>0</v>
      </c>
      <c r="M72" s="1">
        <v>0</v>
      </c>
      <c r="N72" s="1">
        <v>-23061.53</v>
      </c>
      <c r="O72" s="1">
        <v>-22975.43</v>
      </c>
      <c r="P72" s="1">
        <v>7500</v>
      </c>
      <c r="Q72" s="1" t="str">
        <f t="shared" si="23"/>
        <v>0602175409</v>
      </c>
      <c r="R72" s="1" t="str">
        <f t="shared" si="21"/>
        <v>人民币</v>
      </c>
      <c r="S72" s="1" t="str">
        <f>"T4000559"</f>
        <v>T4000559</v>
      </c>
    </row>
    <row r="73" spans="1:19">
      <c r="A73" s="1" t="str">
        <f t="shared" si="25"/>
        <v>20170907</v>
      </c>
      <c r="B73" s="1" t="str">
        <f>"000768"</f>
        <v>000768</v>
      </c>
      <c r="C73" s="1" t="str">
        <f>"中航飞机"</f>
        <v>中航飞机</v>
      </c>
      <c r="D73" s="1" t="str">
        <f>"融资买入"</f>
        <v>融资买入</v>
      </c>
      <c r="E73" s="1">
        <v>19.1</v>
      </c>
      <c r="F73" s="1">
        <v>500</v>
      </c>
      <c r="G73" s="1">
        <v>9550</v>
      </c>
      <c r="H73" s="1">
        <v>5</v>
      </c>
      <c r="I73" s="1">
        <v>4.15</v>
      </c>
      <c r="J73" s="1">
        <v>0</v>
      </c>
      <c r="K73" s="1">
        <v>0</v>
      </c>
      <c r="L73" s="1">
        <v>0</v>
      </c>
      <c r="M73" s="1">
        <v>0</v>
      </c>
      <c r="N73" s="1">
        <v>-9555</v>
      </c>
      <c r="O73" s="1">
        <v>-32530.43</v>
      </c>
      <c r="P73" s="1">
        <v>500</v>
      </c>
      <c r="Q73" s="1" t="str">
        <f t="shared" si="23"/>
        <v>0602175409</v>
      </c>
      <c r="R73" s="1" t="str">
        <f t="shared" si="21"/>
        <v>人民币</v>
      </c>
      <c r="S73" s="1" t="str">
        <f>"T4000614"</f>
        <v>T4000614</v>
      </c>
    </row>
    <row r="74" spans="1:19">
      <c r="A74" s="1" t="str">
        <f t="shared" si="25"/>
        <v>20170907</v>
      </c>
      <c r="B74" s="1" t="str">
        <f>"002183"</f>
        <v>002183</v>
      </c>
      <c r="C74" s="1" t="str">
        <f>"怡 亚 通"</f>
        <v>怡 亚 通</v>
      </c>
      <c r="D74" s="1" t="str">
        <f>"担保品卖出"</f>
        <v>担保品卖出</v>
      </c>
      <c r="E74" s="1">
        <v>9.12</v>
      </c>
      <c r="F74" s="1">
        <v>2500</v>
      </c>
      <c r="G74" s="1">
        <v>22800</v>
      </c>
      <c r="H74" s="1">
        <v>7.07</v>
      </c>
      <c r="I74" s="1">
        <v>5.04</v>
      </c>
      <c r="J74" s="1">
        <v>22.8</v>
      </c>
      <c r="K74" s="1">
        <v>0</v>
      </c>
      <c r="L74" s="1">
        <v>0</v>
      </c>
      <c r="M74" s="1">
        <v>0</v>
      </c>
      <c r="N74" s="1">
        <v>22770.13</v>
      </c>
      <c r="O74" s="1">
        <v>-9760.3</v>
      </c>
      <c r="P74" s="1">
        <v>5000</v>
      </c>
      <c r="Q74" s="1" t="str">
        <f t="shared" si="23"/>
        <v>0602175409</v>
      </c>
      <c r="R74" s="1" t="str">
        <f t="shared" si="21"/>
        <v>人民币</v>
      </c>
      <c r="S74" s="1" t="str">
        <f t="shared" ref="S74:S78" si="26">"T4000756"</f>
        <v>T4000756</v>
      </c>
    </row>
    <row r="75" spans="1:19">
      <c r="A75" s="1" t="str">
        <f t="shared" si="25"/>
        <v>20170907</v>
      </c>
      <c r="D75" s="1" t="str">
        <f>"融资借入"</f>
        <v>融资借入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23061.53</v>
      </c>
      <c r="O75" s="1">
        <v>13301.23</v>
      </c>
      <c r="P75" s="1">
        <v>0</v>
      </c>
      <c r="R75" s="1" t="str">
        <f t="shared" si="21"/>
        <v>人民币</v>
      </c>
      <c r="S75" s="1" t="str">
        <f>"T4000559"</f>
        <v>T4000559</v>
      </c>
    </row>
    <row r="76" spans="1:19">
      <c r="A76" s="1" t="str">
        <f t="shared" si="25"/>
        <v>20170907</v>
      </c>
      <c r="D76" s="1" t="str">
        <f>"融资借入"</f>
        <v>融资借入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9555</v>
      </c>
      <c r="O76" s="1">
        <v>22856.23</v>
      </c>
      <c r="P76" s="1">
        <v>0</v>
      </c>
      <c r="R76" s="1" t="str">
        <f t="shared" si="21"/>
        <v>人民币</v>
      </c>
      <c r="S76" s="1" t="str">
        <f>"T4000614"</f>
        <v>T4000614</v>
      </c>
    </row>
    <row r="77" spans="1:19">
      <c r="A77" s="1" t="str">
        <f t="shared" si="25"/>
        <v>20170907</v>
      </c>
      <c r="D77" s="1" t="str">
        <f>"偿还融资负债本金"</f>
        <v>偿还融资负债本金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-3480.7</v>
      </c>
      <c r="O77" s="1">
        <v>19375.53</v>
      </c>
      <c r="P77" s="1">
        <v>0</v>
      </c>
      <c r="R77" s="1" t="str">
        <f t="shared" si="21"/>
        <v>人民币</v>
      </c>
      <c r="S77" s="1" t="str">
        <f t="shared" si="26"/>
        <v>T4000756</v>
      </c>
    </row>
    <row r="78" spans="1:19">
      <c r="A78" s="1" t="str">
        <f t="shared" si="25"/>
        <v>20170907</v>
      </c>
      <c r="D78" s="1" t="str">
        <f>"偿还融资负债本金"</f>
        <v>偿还融资负债本金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-19228.1</v>
      </c>
      <c r="O78" s="1">
        <v>147.43</v>
      </c>
      <c r="P78" s="1">
        <v>0</v>
      </c>
      <c r="R78" s="1" t="str">
        <f t="shared" si="21"/>
        <v>人民币</v>
      </c>
      <c r="S78" s="1" t="str">
        <f t="shared" si="26"/>
        <v>T4000756</v>
      </c>
    </row>
    <row r="79" spans="1:18">
      <c r="A79" s="1" t="str">
        <f t="shared" si="25"/>
        <v>20170907</v>
      </c>
      <c r="D79" s="1" t="str">
        <f t="shared" ref="D79:D83" si="27">"偿还融资利息"</f>
        <v>偿还融资利息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-147.43</v>
      </c>
      <c r="O79" s="1">
        <v>0</v>
      </c>
      <c r="P79" s="1">
        <v>0</v>
      </c>
      <c r="R79" s="1" t="str">
        <f t="shared" si="21"/>
        <v>人民币</v>
      </c>
    </row>
    <row r="80" spans="1:19">
      <c r="A80" s="1" t="str">
        <f t="shared" ref="A80:A92" si="28">"20170913"</f>
        <v>20170913</v>
      </c>
      <c r="B80" s="1" t="str">
        <f>"002183"</f>
        <v>002183</v>
      </c>
      <c r="C80" s="1" t="str">
        <f>"怡 亚 通"</f>
        <v>怡 亚 通</v>
      </c>
      <c r="D80" s="1" t="str">
        <f>"担保品卖出"</f>
        <v>担保品卖出</v>
      </c>
      <c r="E80" s="1">
        <v>8.81</v>
      </c>
      <c r="F80" s="1">
        <v>5000</v>
      </c>
      <c r="G80" s="1">
        <v>44050</v>
      </c>
      <c r="H80" s="1">
        <v>13.66</v>
      </c>
      <c r="I80" s="1">
        <v>9.75</v>
      </c>
      <c r="J80" s="1">
        <v>44.05</v>
      </c>
      <c r="K80" s="1">
        <v>0</v>
      </c>
      <c r="L80" s="1">
        <v>0</v>
      </c>
      <c r="M80" s="1">
        <v>0</v>
      </c>
      <c r="N80" s="1">
        <v>43992.29</v>
      </c>
      <c r="O80" s="1">
        <v>43992.29</v>
      </c>
      <c r="P80" s="1">
        <v>0</v>
      </c>
      <c r="Q80" s="1" t="str">
        <f>"0602175409"</f>
        <v>0602175409</v>
      </c>
      <c r="R80" s="1" t="str">
        <f t="shared" si="21"/>
        <v>人民币</v>
      </c>
      <c r="S80" s="1" t="str">
        <f>"T4000378"</f>
        <v>T4000378</v>
      </c>
    </row>
    <row r="81" spans="1:19">
      <c r="A81" s="1" t="str">
        <f t="shared" si="28"/>
        <v>20170913</v>
      </c>
      <c r="B81" s="1" t="str">
        <f>"000601"</f>
        <v>000601</v>
      </c>
      <c r="C81" s="1" t="str">
        <f>"韶能股份"</f>
        <v>韶能股份</v>
      </c>
      <c r="D81" s="1" t="str">
        <f>"担保品卖出"</f>
        <v>担保品卖出</v>
      </c>
      <c r="E81" s="1">
        <v>7.77</v>
      </c>
      <c r="F81" s="1">
        <v>1500</v>
      </c>
      <c r="G81" s="1">
        <v>11655</v>
      </c>
      <c r="H81" s="1">
        <v>5</v>
      </c>
      <c r="I81" s="1">
        <v>3.97</v>
      </c>
      <c r="J81" s="1">
        <v>11.66</v>
      </c>
      <c r="K81" s="1">
        <v>0</v>
      </c>
      <c r="L81" s="1">
        <v>0</v>
      </c>
      <c r="M81" s="1">
        <v>0</v>
      </c>
      <c r="N81" s="1">
        <v>11638.34</v>
      </c>
      <c r="O81" s="1">
        <v>55630.63</v>
      </c>
      <c r="P81" s="1">
        <v>6000</v>
      </c>
      <c r="Q81" s="1" t="str">
        <f>"0602175409"</f>
        <v>0602175409</v>
      </c>
      <c r="R81" s="1" t="str">
        <f t="shared" si="21"/>
        <v>人民币</v>
      </c>
      <c r="S81" s="1" t="str">
        <f>"T4000475"</f>
        <v>T4000475</v>
      </c>
    </row>
    <row r="82" spans="1:18">
      <c r="A82" s="1" t="str">
        <f t="shared" si="28"/>
        <v>20170913</v>
      </c>
      <c r="D82" s="1" t="str">
        <f t="shared" si="27"/>
        <v>偿还融资利息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-148.6</v>
      </c>
      <c r="O82" s="1">
        <v>55482.03</v>
      </c>
      <c r="P82" s="1">
        <v>0</v>
      </c>
      <c r="R82" s="1" t="str">
        <f t="shared" si="21"/>
        <v>人民币</v>
      </c>
    </row>
    <row r="83" spans="1:18">
      <c r="A83" s="1" t="str">
        <f t="shared" si="28"/>
        <v>20170913</v>
      </c>
      <c r="D83" s="1" t="str">
        <f t="shared" si="27"/>
        <v>偿还融资利息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-276.42</v>
      </c>
      <c r="O83" s="1">
        <v>55205.61</v>
      </c>
      <c r="P83" s="1">
        <v>0</v>
      </c>
      <c r="R83" s="1" t="str">
        <f t="shared" si="21"/>
        <v>人民币</v>
      </c>
    </row>
    <row r="84" spans="1:18">
      <c r="A84" s="1" t="str">
        <f t="shared" si="28"/>
        <v>20170913</v>
      </c>
      <c r="D84" s="1" t="str">
        <f t="shared" ref="D84:D87" si="29">"偿还融资负债本金"</f>
        <v>偿还融资负债本金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-72.19</v>
      </c>
      <c r="O84" s="1">
        <v>55130.63</v>
      </c>
      <c r="P84" s="1">
        <v>0</v>
      </c>
      <c r="R84" s="1" t="str">
        <f t="shared" si="21"/>
        <v>人民币</v>
      </c>
    </row>
    <row r="85" spans="1:18">
      <c r="A85" s="1" t="str">
        <f t="shared" si="28"/>
        <v>20170913</v>
      </c>
      <c r="D85" s="1" t="str">
        <f t="shared" si="29"/>
        <v>偿还融资负债本金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-40.73</v>
      </c>
      <c r="O85" s="1">
        <v>55089.9</v>
      </c>
      <c r="P85" s="1">
        <v>0</v>
      </c>
      <c r="R85" s="1" t="str">
        <f t="shared" si="21"/>
        <v>人民币</v>
      </c>
    </row>
    <row r="86" spans="1:18">
      <c r="A86" s="1" t="str">
        <f t="shared" si="28"/>
        <v>20170913</v>
      </c>
      <c r="D86" s="1" t="str">
        <f t="shared" ref="D86:D89" si="30">"偿还融资利息"</f>
        <v>偿还融资利息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-2.79</v>
      </c>
      <c r="O86" s="1">
        <v>55202.82</v>
      </c>
      <c r="P86" s="1">
        <v>0</v>
      </c>
      <c r="R86" s="1" t="str">
        <f t="shared" si="21"/>
        <v>人民币</v>
      </c>
    </row>
    <row r="87" spans="1:18">
      <c r="A87" s="1" t="str">
        <f t="shared" si="28"/>
        <v>20170913</v>
      </c>
      <c r="D87" s="1" t="str">
        <f t="shared" si="29"/>
        <v>偿还融资负债本金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-6.67</v>
      </c>
      <c r="O87" s="1">
        <v>54975.63</v>
      </c>
      <c r="P87" s="1">
        <v>0</v>
      </c>
      <c r="R87" s="1" t="str">
        <f t="shared" si="21"/>
        <v>人民币</v>
      </c>
    </row>
    <row r="88" spans="1:18">
      <c r="A88" s="1" t="str">
        <f t="shared" si="28"/>
        <v>20170913</v>
      </c>
      <c r="D88" s="1" t="str">
        <f t="shared" si="30"/>
        <v>偿还融资利息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-72.27</v>
      </c>
      <c r="O88" s="1">
        <v>55017.63</v>
      </c>
      <c r="P88" s="1">
        <v>0</v>
      </c>
      <c r="R88" s="1" t="str">
        <f t="shared" si="21"/>
        <v>人民币</v>
      </c>
    </row>
    <row r="89" spans="1:18">
      <c r="A89" s="1" t="str">
        <f t="shared" si="28"/>
        <v>20170913</v>
      </c>
      <c r="D89" s="1" t="str">
        <f t="shared" si="30"/>
        <v>偿还融资利息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-35.33</v>
      </c>
      <c r="O89" s="1">
        <v>54982.3</v>
      </c>
      <c r="P89" s="1">
        <v>0</v>
      </c>
      <c r="R89" s="1" t="str">
        <f t="shared" si="21"/>
        <v>人民币</v>
      </c>
    </row>
    <row r="90" spans="1:19">
      <c r="A90" s="1" t="str">
        <f t="shared" si="28"/>
        <v>20170913</v>
      </c>
      <c r="D90" s="1" t="str">
        <f>"偿还融资负债本金"</f>
        <v>偿还融资负债本金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-1845.06</v>
      </c>
      <c r="O90" s="1">
        <v>53130.57</v>
      </c>
      <c r="P90" s="1">
        <v>0</v>
      </c>
      <c r="R90" s="1" t="str">
        <f t="shared" si="21"/>
        <v>人民币</v>
      </c>
      <c r="S90" s="1" t="str">
        <f>"T4000378"</f>
        <v>T4000378</v>
      </c>
    </row>
    <row r="91" spans="1:19">
      <c r="A91" s="1" t="str">
        <f t="shared" si="28"/>
        <v>20170913</v>
      </c>
      <c r="D91" s="1" t="str">
        <f>"偿还融资负债本金"</f>
        <v>偿还融资负债本金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-23061.53</v>
      </c>
      <c r="O91" s="1">
        <v>30069.04</v>
      </c>
      <c r="P91" s="1">
        <v>0</v>
      </c>
      <c r="R91" s="1" t="str">
        <f t="shared" si="21"/>
        <v>人民币</v>
      </c>
      <c r="S91" s="1" t="str">
        <f>"T4000378"</f>
        <v>T4000378</v>
      </c>
    </row>
    <row r="92" spans="1:18">
      <c r="A92" s="1" t="str">
        <f t="shared" si="28"/>
        <v>20170913</v>
      </c>
      <c r="D92" s="1" t="str">
        <f>"偿还融资利息"</f>
        <v>偿还融资利息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-32.1</v>
      </c>
      <c r="O92" s="1">
        <v>30036.94</v>
      </c>
      <c r="P92" s="1">
        <v>0</v>
      </c>
      <c r="R92" s="1" t="str">
        <f t="shared" si="21"/>
        <v>人民币</v>
      </c>
    </row>
    <row r="93" spans="1:18">
      <c r="A93" s="1" t="str">
        <f>"20170914"</f>
        <v>20170914</v>
      </c>
      <c r="B93" s="1" t="str">
        <f>"000601"</f>
        <v>000601</v>
      </c>
      <c r="C93" s="1" t="str">
        <f>"韶能股份"</f>
        <v>韶能股份</v>
      </c>
      <c r="D93" s="1" t="str">
        <f>"股息红利差异扣税"</f>
        <v>股息红利差异扣税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-30</v>
      </c>
      <c r="O93" s="1">
        <v>30006.94</v>
      </c>
      <c r="P93" s="1">
        <v>0</v>
      </c>
      <c r="Q93" s="1" t="str">
        <f t="shared" ref="Q93:Q96" si="31">"0602175409"</f>
        <v>0602175409</v>
      </c>
      <c r="R93" s="1" t="str">
        <f t="shared" si="21"/>
        <v>人民币</v>
      </c>
    </row>
    <row r="94" spans="1:19">
      <c r="A94" s="1" t="str">
        <f>"20170918"</f>
        <v>20170918</v>
      </c>
      <c r="B94" s="1" t="str">
        <f>"002023"</f>
        <v>002023</v>
      </c>
      <c r="C94" s="1" t="str">
        <f>"海特高新"</f>
        <v>海特高新</v>
      </c>
      <c r="D94" s="1" t="str">
        <f>"融资买入"</f>
        <v>融资买入</v>
      </c>
      <c r="E94" s="1">
        <v>10.6</v>
      </c>
      <c r="F94" s="1">
        <v>2000</v>
      </c>
      <c r="G94" s="1">
        <v>21200</v>
      </c>
      <c r="H94" s="1">
        <v>10.6</v>
      </c>
      <c r="I94" s="1">
        <v>8.73</v>
      </c>
      <c r="J94" s="1">
        <v>0</v>
      </c>
      <c r="K94" s="1">
        <v>0</v>
      </c>
      <c r="L94" s="1">
        <v>0</v>
      </c>
      <c r="M94" s="1">
        <v>0</v>
      </c>
      <c r="N94" s="1">
        <v>-21210.6</v>
      </c>
      <c r="O94" s="1">
        <v>8796.34</v>
      </c>
      <c r="P94" s="1">
        <v>2000</v>
      </c>
      <c r="Q94" s="1" t="str">
        <f t="shared" si="31"/>
        <v>0602175409</v>
      </c>
      <c r="R94" s="1" t="str">
        <f t="shared" si="21"/>
        <v>人民币</v>
      </c>
      <c r="S94" s="1" t="str">
        <f>"T4000550"</f>
        <v>T4000550</v>
      </c>
    </row>
    <row r="95" spans="1:19">
      <c r="A95" s="1" t="str">
        <f>"20170918"</f>
        <v>20170918</v>
      </c>
      <c r="D95" s="1" t="str">
        <f>"融资借入"</f>
        <v>融资借入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21210.6</v>
      </c>
      <c r="O95" s="1">
        <v>30006.94</v>
      </c>
      <c r="P95" s="1">
        <v>0</v>
      </c>
      <c r="R95" s="1" t="str">
        <f t="shared" si="21"/>
        <v>人民币</v>
      </c>
      <c r="S95" s="1" t="str">
        <f>"T4000550"</f>
        <v>T4000550</v>
      </c>
    </row>
    <row r="96" spans="1:19">
      <c r="A96" s="1" t="str">
        <f t="shared" ref="A96:A98" si="32">"20170919"</f>
        <v>20170919</v>
      </c>
      <c r="B96" s="1" t="str">
        <f>"000768"</f>
        <v>000768</v>
      </c>
      <c r="C96" s="1" t="str">
        <f>"中航飞机"</f>
        <v>中航飞机</v>
      </c>
      <c r="D96" s="1" t="str">
        <f>"融资买入"</f>
        <v>融资买入</v>
      </c>
      <c r="E96" s="1">
        <v>18.55</v>
      </c>
      <c r="F96" s="1">
        <v>500</v>
      </c>
      <c r="G96" s="1">
        <v>9275</v>
      </c>
      <c r="H96" s="1">
        <v>5</v>
      </c>
      <c r="I96" s="1">
        <v>4.17</v>
      </c>
      <c r="J96" s="1">
        <v>0</v>
      </c>
      <c r="K96" s="1">
        <v>0</v>
      </c>
      <c r="L96" s="1">
        <v>0</v>
      </c>
      <c r="M96" s="1">
        <v>0</v>
      </c>
      <c r="N96" s="1">
        <v>-9280</v>
      </c>
      <c r="O96" s="1">
        <v>20726.94</v>
      </c>
      <c r="P96" s="1">
        <v>1000</v>
      </c>
      <c r="Q96" s="1" t="str">
        <f t="shared" si="31"/>
        <v>0602175409</v>
      </c>
      <c r="R96" s="1" t="str">
        <f t="shared" si="21"/>
        <v>人民币</v>
      </c>
      <c r="S96" s="1" t="str">
        <f>"T4001003"</f>
        <v>T4001003</v>
      </c>
    </row>
    <row r="97" spans="1:19">
      <c r="A97" s="1" t="str">
        <f t="shared" si="32"/>
        <v>20170919</v>
      </c>
      <c r="D97" s="1" t="str">
        <f>"融资借入"</f>
        <v>融资借入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9280</v>
      </c>
      <c r="O97" s="1">
        <v>30006.94</v>
      </c>
      <c r="P97" s="1">
        <v>0</v>
      </c>
      <c r="R97" s="1" t="str">
        <f t="shared" si="21"/>
        <v>人民币</v>
      </c>
      <c r="S97" s="1" t="str">
        <f>"T4001003"</f>
        <v>T4001003</v>
      </c>
    </row>
    <row r="98" spans="1:18">
      <c r="A98" s="1" t="str">
        <f t="shared" si="32"/>
        <v>20170919</v>
      </c>
      <c r="D98" s="1" t="str">
        <f>"偿还融资利息"</f>
        <v>偿还融资利息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-6.94</v>
      </c>
      <c r="O98" s="1">
        <v>30000</v>
      </c>
      <c r="P98" s="1">
        <v>0</v>
      </c>
      <c r="R98" s="1" t="str">
        <f t="shared" si="21"/>
        <v>人民币</v>
      </c>
    </row>
    <row r="99" spans="1:18">
      <c r="A99" s="1" t="str">
        <f t="shared" ref="A99:A107" si="33">"20170920"</f>
        <v>20170920</v>
      </c>
      <c r="D99" s="1" t="str">
        <f>"利息归本"</f>
        <v>利息归本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2.23</v>
      </c>
      <c r="O99" s="1">
        <v>30002.23</v>
      </c>
      <c r="P99" s="1">
        <v>0</v>
      </c>
      <c r="R99" s="1" t="str">
        <f t="shared" si="21"/>
        <v>人民币</v>
      </c>
    </row>
    <row r="100" spans="1:19">
      <c r="A100" s="1" t="str">
        <f t="shared" si="33"/>
        <v>20170920</v>
      </c>
      <c r="B100" s="1" t="str">
        <f>"000768"</f>
        <v>000768</v>
      </c>
      <c r="C100" s="1" t="str">
        <f>"中航飞机"</f>
        <v>中航飞机</v>
      </c>
      <c r="D100" s="1" t="str">
        <f>"担保品卖出"</f>
        <v>担保品卖出</v>
      </c>
      <c r="E100" s="1">
        <v>18.95</v>
      </c>
      <c r="F100" s="1">
        <v>500</v>
      </c>
      <c r="G100" s="1">
        <v>9475</v>
      </c>
      <c r="H100" s="1">
        <v>5</v>
      </c>
      <c r="I100" s="1">
        <v>4.16</v>
      </c>
      <c r="J100" s="1">
        <v>9.48</v>
      </c>
      <c r="K100" s="1">
        <v>0</v>
      </c>
      <c r="L100" s="1">
        <v>0</v>
      </c>
      <c r="M100" s="1">
        <v>0</v>
      </c>
      <c r="N100" s="1">
        <v>9460.52</v>
      </c>
      <c r="O100" s="1">
        <v>39462.75</v>
      </c>
      <c r="P100" s="1">
        <v>500</v>
      </c>
      <c r="Q100" s="1" t="str">
        <f>"0602175409"</f>
        <v>0602175409</v>
      </c>
      <c r="R100" s="1" t="str">
        <f t="shared" si="21"/>
        <v>人民币</v>
      </c>
      <c r="S100" s="1" t="str">
        <f>"T4000375"</f>
        <v>T4000375</v>
      </c>
    </row>
    <row r="101" spans="1:19">
      <c r="A101" s="1" t="str">
        <f t="shared" si="33"/>
        <v>20170920</v>
      </c>
      <c r="B101" s="1" t="str">
        <f>"002023"</f>
        <v>002023</v>
      </c>
      <c r="C101" s="1" t="str">
        <f>"海特高新"</f>
        <v>海特高新</v>
      </c>
      <c r="D101" s="1" t="str">
        <f>"担保品卖出"</f>
        <v>担保品卖出</v>
      </c>
      <c r="E101" s="1">
        <v>11.04</v>
      </c>
      <c r="F101" s="1">
        <v>2000</v>
      </c>
      <c r="G101" s="1">
        <v>22080</v>
      </c>
      <c r="H101" s="1">
        <v>6.84</v>
      </c>
      <c r="I101" s="1">
        <v>4.88</v>
      </c>
      <c r="J101" s="1">
        <v>22.08</v>
      </c>
      <c r="K101" s="1">
        <v>0</v>
      </c>
      <c r="L101" s="1">
        <v>0</v>
      </c>
      <c r="M101" s="1">
        <v>0</v>
      </c>
      <c r="N101" s="1">
        <v>22051.08</v>
      </c>
      <c r="O101" s="1">
        <v>61513.83</v>
      </c>
      <c r="P101" s="1">
        <v>0</v>
      </c>
      <c r="Q101" s="1" t="str">
        <f>"0602175409"</f>
        <v>0602175409</v>
      </c>
      <c r="R101" s="1" t="str">
        <f t="shared" si="21"/>
        <v>人民币</v>
      </c>
      <c r="S101" s="1" t="str">
        <f>"T4000485"</f>
        <v>T4000485</v>
      </c>
    </row>
    <row r="102" spans="1:19">
      <c r="A102" s="1" t="str">
        <f t="shared" si="33"/>
        <v>20170920</v>
      </c>
      <c r="B102" s="1" t="str">
        <f>"600613"</f>
        <v>600613</v>
      </c>
      <c r="C102" s="1" t="str">
        <f>"神奇制药"</f>
        <v>神奇制药</v>
      </c>
      <c r="D102" s="1" t="str">
        <f>"担保品买入"</f>
        <v>担保品买入</v>
      </c>
      <c r="E102" s="1">
        <v>10.74</v>
      </c>
      <c r="F102" s="1">
        <v>1000</v>
      </c>
      <c r="G102" s="1">
        <v>10740</v>
      </c>
      <c r="H102" s="1">
        <v>5</v>
      </c>
      <c r="I102" s="1">
        <v>4.27</v>
      </c>
      <c r="J102" s="1">
        <v>0</v>
      </c>
      <c r="K102" s="1">
        <v>0.21</v>
      </c>
      <c r="L102" s="1">
        <v>0</v>
      </c>
      <c r="M102" s="1">
        <v>0</v>
      </c>
      <c r="N102" s="1">
        <v>-10745.21</v>
      </c>
      <c r="O102" s="1">
        <v>50768.62</v>
      </c>
      <c r="P102" s="1">
        <v>1000</v>
      </c>
      <c r="Q102" s="1" t="str">
        <f>"E021635187"</f>
        <v>E021635187</v>
      </c>
      <c r="R102" s="1" t="str">
        <f t="shared" si="21"/>
        <v>人民币</v>
      </c>
      <c r="S102" s="1" t="str">
        <f>"0136000665"</f>
        <v>0136000665</v>
      </c>
    </row>
    <row r="103" spans="1:18">
      <c r="A103" s="1" t="str">
        <f t="shared" si="33"/>
        <v>20170920</v>
      </c>
      <c r="D103" s="1" t="str">
        <f t="shared" ref="D103:D106" si="34">"偿还融资负债本金"</f>
        <v>偿还融资负债本金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-750.36</v>
      </c>
      <c r="O103" s="1">
        <v>49987.54</v>
      </c>
      <c r="P103" s="1">
        <v>0</v>
      </c>
      <c r="R103" s="1" t="str">
        <f t="shared" si="21"/>
        <v>人民币</v>
      </c>
    </row>
    <row r="104" spans="1:18">
      <c r="A104" s="1" t="str">
        <f t="shared" si="33"/>
        <v>20170920</v>
      </c>
      <c r="D104" s="1" t="str">
        <f>"偿还融资利息"</f>
        <v>偿还融资利息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-30.72</v>
      </c>
      <c r="O104" s="1">
        <v>50737.9</v>
      </c>
      <c r="P104" s="1">
        <v>0</v>
      </c>
      <c r="R104" s="1" t="str">
        <f t="shared" si="21"/>
        <v>人民币</v>
      </c>
    </row>
    <row r="105" spans="1:19">
      <c r="A105" s="1" t="str">
        <f t="shared" si="33"/>
        <v>20170920</v>
      </c>
      <c r="D105" s="1" t="str">
        <f t="shared" si="34"/>
        <v>偿还融资负债本金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-9437.09</v>
      </c>
      <c r="O105" s="1">
        <v>40550.45</v>
      </c>
      <c r="P105" s="1">
        <v>0</v>
      </c>
      <c r="R105" s="1" t="str">
        <f t="shared" si="21"/>
        <v>人民币</v>
      </c>
      <c r="S105" s="1" t="str">
        <f>"T4000375"</f>
        <v>T4000375</v>
      </c>
    </row>
    <row r="106" spans="1:19">
      <c r="A106" s="1" t="str">
        <f t="shared" si="33"/>
        <v>20170920</v>
      </c>
      <c r="D106" s="1" t="str">
        <f t="shared" si="34"/>
        <v>偿还融资负债本金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-21210.6</v>
      </c>
      <c r="O106" s="1">
        <v>19339.85</v>
      </c>
      <c r="P106" s="1">
        <v>0</v>
      </c>
      <c r="R106" s="1" t="str">
        <f t="shared" si="21"/>
        <v>人民币</v>
      </c>
      <c r="S106" s="1" t="str">
        <f>"T4000485"</f>
        <v>T4000485</v>
      </c>
    </row>
    <row r="107" spans="1:18">
      <c r="A107" s="1" t="str">
        <f t="shared" si="33"/>
        <v>20170920</v>
      </c>
      <c r="D107" s="1" t="str">
        <f>"偿还融资利息"</f>
        <v>偿还融资利息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-9.84</v>
      </c>
      <c r="O107" s="1">
        <v>19330.01</v>
      </c>
      <c r="P107" s="1">
        <v>0</v>
      </c>
      <c r="R107" s="1" t="str">
        <f t="shared" si="21"/>
        <v>人民币</v>
      </c>
    </row>
    <row r="108" spans="1:19">
      <c r="A108" s="1" t="str">
        <f>"20170922"</f>
        <v>20170922</v>
      </c>
      <c r="B108" s="1" t="str">
        <f>"000768"</f>
        <v>000768</v>
      </c>
      <c r="C108" s="1" t="str">
        <f>"中航飞机"</f>
        <v>中航飞机</v>
      </c>
      <c r="D108" s="1" t="str">
        <f>"融资买入"</f>
        <v>融资买入</v>
      </c>
      <c r="E108" s="1">
        <v>18.44</v>
      </c>
      <c r="F108" s="1">
        <v>500</v>
      </c>
      <c r="G108" s="1">
        <v>9220</v>
      </c>
      <c r="H108" s="1">
        <v>5</v>
      </c>
      <c r="I108" s="1">
        <v>4.19</v>
      </c>
      <c r="J108" s="1">
        <v>0</v>
      </c>
      <c r="K108" s="1">
        <v>0</v>
      </c>
      <c r="L108" s="1">
        <v>0</v>
      </c>
      <c r="M108" s="1">
        <v>0</v>
      </c>
      <c r="N108" s="1">
        <v>-9225</v>
      </c>
      <c r="O108" s="1">
        <v>10105.01</v>
      </c>
      <c r="P108" s="1">
        <v>1000</v>
      </c>
      <c r="Q108" s="1" t="str">
        <f>"0602175409"</f>
        <v>0602175409</v>
      </c>
      <c r="R108" s="1" t="str">
        <f t="shared" si="21"/>
        <v>人民币</v>
      </c>
      <c r="S108" s="1" t="str">
        <f>"T4000775"</f>
        <v>T4000775</v>
      </c>
    </row>
    <row r="109" spans="1:19">
      <c r="A109" s="1" t="str">
        <f>"20170922"</f>
        <v>20170922</v>
      </c>
      <c r="D109" s="1" t="str">
        <f>"融资借入"</f>
        <v>融资借入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9225</v>
      </c>
      <c r="O109" s="1">
        <v>19330.01</v>
      </c>
      <c r="P109" s="1">
        <v>0</v>
      </c>
      <c r="R109" s="1" t="str">
        <f t="shared" si="21"/>
        <v>人民币</v>
      </c>
      <c r="S109" s="1" t="str">
        <f>"T4000775"</f>
        <v>T4000775</v>
      </c>
    </row>
    <row r="110" spans="1:19">
      <c r="A110" s="1" t="str">
        <f t="shared" ref="A110:A113" si="35">"20170925"</f>
        <v>20170925</v>
      </c>
      <c r="B110" s="1" t="str">
        <f>"000768"</f>
        <v>000768</v>
      </c>
      <c r="C110" s="1" t="str">
        <f>"中航飞机"</f>
        <v>中航飞机</v>
      </c>
      <c r="D110" s="1" t="str">
        <f>"担保品卖出"</f>
        <v>担保品卖出</v>
      </c>
      <c r="E110" s="1">
        <v>18.71</v>
      </c>
      <c r="F110" s="1">
        <v>500</v>
      </c>
      <c r="G110" s="1">
        <v>9355</v>
      </c>
      <c r="H110" s="1">
        <v>5</v>
      </c>
      <c r="I110" s="1">
        <v>4.16</v>
      </c>
      <c r="J110" s="1">
        <v>9.36</v>
      </c>
      <c r="K110" s="1">
        <v>0</v>
      </c>
      <c r="L110" s="1">
        <v>0</v>
      </c>
      <c r="M110" s="1">
        <v>0</v>
      </c>
      <c r="N110" s="1">
        <v>9340.64</v>
      </c>
      <c r="O110" s="1">
        <v>28670.65</v>
      </c>
      <c r="P110" s="1">
        <v>500</v>
      </c>
      <c r="Q110" s="1" t="str">
        <f>"0602175409"</f>
        <v>0602175409</v>
      </c>
      <c r="R110" s="1" t="str">
        <f t="shared" si="21"/>
        <v>人民币</v>
      </c>
      <c r="S110" s="1" t="str">
        <f t="shared" ref="S110:S112" si="36">"T4000243"</f>
        <v>T4000243</v>
      </c>
    </row>
    <row r="111" spans="1:19">
      <c r="A111" s="1" t="str">
        <f t="shared" si="35"/>
        <v>20170925</v>
      </c>
      <c r="D111" s="1" t="str">
        <f>"偿还融资负债本金"</f>
        <v>偿还融资负债本金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-117.91</v>
      </c>
      <c r="O111" s="1">
        <v>28552.74</v>
      </c>
      <c r="P111" s="1">
        <v>0</v>
      </c>
      <c r="R111" s="1" t="str">
        <f t="shared" si="21"/>
        <v>人民币</v>
      </c>
      <c r="S111" s="1" t="str">
        <f t="shared" si="36"/>
        <v>T4000243</v>
      </c>
    </row>
    <row r="112" spans="1:19">
      <c r="A112" s="1" t="str">
        <f t="shared" si="35"/>
        <v>20170925</v>
      </c>
      <c r="D112" s="1" t="str">
        <f>"偿还融资负债本金"</f>
        <v>偿还融资负债本金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-9199.66</v>
      </c>
      <c r="O112" s="1">
        <v>19353.08</v>
      </c>
      <c r="P112" s="1">
        <v>0</v>
      </c>
      <c r="R112" s="1" t="str">
        <f t="shared" si="21"/>
        <v>人民币</v>
      </c>
      <c r="S112" s="1" t="str">
        <f t="shared" si="36"/>
        <v>T4000243</v>
      </c>
    </row>
    <row r="113" spans="1:18">
      <c r="A113" s="1" t="str">
        <f t="shared" si="35"/>
        <v>20170925</v>
      </c>
      <c r="D113" s="1" t="str">
        <f>"偿还融资利息"</f>
        <v>偿还融资利息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-28.98</v>
      </c>
      <c r="O113" s="1">
        <v>19324.1</v>
      </c>
      <c r="P113" s="1">
        <v>0</v>
      </c>
      <c r="R113" s="1" t="str">
        <f t="shared" si="21"/>
        <v>人民币</v>
      </c>
    </row>
    <row r="114" spans="1:19">
      <c r="A114" s="1" t="str">
        <f>"20170926"</f>
        <v>20170926</v>
      </c>
      <c r="B114" s="1" t="str">
        <f>"600613"</f>
        <v>600613</v>
      </c>
      <c r="C114" s="1" t="str">
        <f>"神奇制药"</f>
        <v>神奇制药</v>
      </c>
      <c r="D114" s="1" t="str">
        <f>"担保品卖出"</f>
        <v>担保品卖出</v>
      </c>
      <c r="E114" s="1">
        <v>10.35</v>
      </c>
      <c r="F114" s="1">
        <v>1000</v>
      </c>
      <c r="G114" s="1">
        <v>10350</v>
      </c>
      <c r="H114" s="1">
        <v>5</v>
      </c>
      <c r="I114" s="1">
        <v>4.29</v>
      </c>
      <c r="J114" s="1">
        <v>10.35</v>
      </c>
      <c r="K114" s="1">
        <v>0.21</v>
      </c>
      <c r="L114" s="1">
        <v>0</v>
      </c>
      <c r="M114" s="1">
        <v>0</v>
      </c>
      <c r="N114" s="1">
        <v>10334.44</v>
      </c>
      <c r="O114" s="1">
        <v>29658.54</v>
      </c>
      <c r="P114" s="1">
        <v>0</v>
      </c>
      <c r="Q114" s="1" t="str">
        <f>"E021635187"</f>
        <v>E021635187</v>
      </c>
      <c r="R114" s="1" t="str">
        <f t="shared" si="21"/>
        <v>人民币</v>
      </c>
      <c r="S114" s="1" t="str">
        <f>"0136000392"</f>
        <v>0136000392</v>
      </c>
    </row>
    <row r="115" spans="1:19">
      <c r="A115" s="1" t="str">
        <f t="shared" ref="A115:A117" si="37">"20170927"</f>
        <v>20170927</v>
      </c>
      <c r="B115" s="1" t="str">
        <f>"002183"</f>
        <v>002183</v>
      </c>
      <c r="C115" s="1" t="str">
        <f>"怡 亚 通"</f>
        <v>怡 亚 通</v>
      </c>
      <c r="D115" s="1" t="str">
        <f>"融资买入"</f>
        <v>融资买入</v>
      </c>
      <c r="E115" s="1">
        <v>8.55</v>
      </c>
      <c r="F115" s="1">
        <v>2500</v>
      </c>
      <c r="G115" s="1">
        <v>21375</v>
      </c>
      <c r="H115" s="1">
        <v>10.69</v>
      </c>
      <c r="I115" s="1">
        <v>8.8</v>
      </c>
      <c r="J115" s="1">
        <v>0</v>
      </c>
      <c r="K115" s="1">
        <v>0</v>
      </c>
      <c r="L115" s="1">
        <v>0</v>
      </c>
      <c r="M115" s="1">
        <v>0</v>
      </c>
      <c r="N115" s="1">
        <v>-21385.69</v>
      </c>
      <c r="O115" s="1">
        <v>8272.85</v>
      </c>
      <c r="P115" s="1">
        <v>2500</v>
      </c>
      <c r="Q115" s="1" t="str">
        <f t="shared" ref="Q115:Q118" si="38">"0602175409"</f>
        <v>0602175409</v>
      </c>
      <c r="R115" s="1" t="str">
        <f t="shared" si="21"/>
        <v>人民币</v>
      </c>
      <c r="S115" s="1" t="str">
        <f>"T4000651"</f>
        <v>T4000651</v>
      </c>
    </row>
    <row r="116" spans="1:19">
      <c r="A116" s="1" t="str">
        <f t="shared" si="37"/>
        <v>20170927</v>
      </c>
      <c r="B116" s="1" t="str">
        <f>"000601"</f>
        <v>000601</v>
      </c>
      <c r="C116" s="1" t="str">
        <f>"韶能股份"</f>
        <v>韶能股份</v>
      </c>
      <c r="D116" s="1" t="str">
        <f>"担保品买入"</f>
        <v>担保品买入</v>
      </c>
      <c r="E116" s="1">
        <v>7.41</v>
      </c>
      <c r="F116" s="1">
        <v>3000</v>
      </c>
      <c r="G116" s="1">
        <v>22230</v>
      </c>
      <c r="H116" s="1">
        <v>6.89</v>
      </c>
      <c r="I116" s="1">
        <v>4.93</v>
      </c>
      <c r="J116" s="1">
        <v>0</v>
      </c>
      <c r="K116" s="1">
        <v>0</v>
      </c>
      <c r="L116" s="1">
        <v>0</v>
      </c>
      <c r="M116" s="1">
        <v>0</v>
      </c>
      <c r="N116" s="1">
        <v>-22236.89</v>
      </c>
      <c r="O116" s="1">
        <v>-13964.04</v>
      </c>
      <c r="P116" s="1">
        <v>9000</v>
      </c>
      <c r="Q116" s="1" t="str">
        <f t="shared" si="38"/>
        <v>0602175409</v>
      </c>
      <c r="R116" s="1" t="str">
        <f t="shared" si="21"/>
        <v>人民币</v>
      </c>
      <c r="S116" s="1" t="str">
        <f>"T4000822"</f>
        <v>T4000822</v>
      </c>
    </row>
    <row r="117" spans="1:19">
      <c r="A117" s="1" t="str">
        <f t="shared" si="37"/>
        <v>20170927</v>
      </c>
      <c r="D117" s="1" t="str">
        <f>"融资借入"</f>
        <v>融资借入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21385.69</v>
      </c>
      <c r="O117" s="1">
        <v>7421.65</v>
      </c>
      <c r="P117" s="1">
        <v>0</v>
      </c>
      <c r="R117" s="1" t="str">
        <f t="shared" si="21"/>
        <v>人民币</v>
      </c>
      <c r="S117" s="1" t="str">
        <f>"T4000651"</f>
        <v>T4000651</v>
      </c>
    </row>
    <row r="118" spans="1:19">
      <c r="A118" s="1" t="str">
        <f>"20170929"</f>
        <v>20170929</v>
      </c>
      <c r="B118" s="1" t="str">
        <f>"002183"</f>
        <v>002183</v>
      </c>
      <c r="C118" s="1" t="str">
        <f>"怡 亚 通"</f>
        <v>怡 亚 通</v>
      </c>
      <c r="D118" s="1" t="str">
        <f>"融资买入"</f>
        <v>融资买入</v>
      </c>
      <c r="E118" s="1">
        <v>8.45</v>
      </c>
      <c r="F118" s="1">
        <v>2500</v>
      </c>
      <c r="G118" s="1">
        <v>21125</v>
      </c>
      <c r="H118" s="1">
        <v>10.56</v>
      </c>
      <c r="I118" s="1">
        <v>8.7</v>
      </c>
      <c r="J118" s="1">
        <v>0</v>
      </c>
      <c r="K118" s="1">
        <v>0</v>
      </c>
      <c r="L118" s="1">
        <v>0</v>
      </c>
      <c r="M118" s="1">
        <v>0</v>
      </c>
      <c r="N118" s="1">
        <v>-21135.56</v>
      </c>
      <c r="O118" s="1">
        <v>-13713.91</v>
      </c>
      <c r="P118" s="1">
        <v>5000</v>
      </c>
      <c r="Q118" s="1" t="str">
        <f t="shared" si="38"/>
        <v>0602175409</v>
      </c>
      <c r="R118" s="1" t="str">
        <f t="shared" si="21"/>
        <v>人民币</v>
      </c>
      <c r="S118" s="1" t="str">
        <f>"T4000267"</f>
        <v>T4000267</v>
      </c>
    </row>
    <row r="119" spans="1:19">
      <c r="A119" s="1" t="str">
        <f>"20170929"</f>
        <v>20170929</v>
      </c>
      <c r="D119" s="1" t="str">
        <f>"融资借入"</f>
        <v>融资借入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21135.56</v>
      </c>
      <c r="O119" s="1">
        <v>7421.65</v>
      </c>
      <c r="P119" s="1">
        <v>0</v>
      </c>
      <c r="R119" s="1" t="str">
        <f t="shared" si="21"/>
        <v>人民币</v>
      </c>
      <c r="S119" s="1" t="str">
        <f>"T4000267"</f>
        <v>T4000267</v>
      </c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80"/>
  <sheetViews>
    <sheetView topLeftCell="A67" workbookViewId="0">
      <selection activeCell="A2" sqref="A2:P80"/>
    </sheetView>
  </sheetViews>
  <sheetFormatPr defaultColWidth="9" defaultRowHeight="13.5"/>
  <cols>
    <col min="1" max="16384" width="9" style="1"/>
  </cols>
  <sheetData>
    <row r="1" spans="1:19">
      <c r="A1" s="1" t="str">
        <f>"交割日期"</f>
        <v>交割日期</v>
      </c>
      <c r="B1" s="1" t="str">
        <f>"证券代码"</f>
        <v>证券代码</v>
      </c>
      <c r="C1" s="1" t="str">
        <f>"证券名称"</f>
        <v>证券名称</v>
      </c>
      <c r="D1" s="1" t="str">
        <f>"业务名称"</f>
        <v>业务名称</v>
      </c>
      <c r="E1" s="1" t="str">
        <f>"成交价格"</f>
        <v>成交价格</v>
      </c>
      <c r="F1" s="1" t="str">
        <f>"成交数量"</f>
        <v>成交数量</v>
      </c>
      <c r="G1" s="1" t="str">
        <f>"成交金额"</f>
        <v>成交金额</v>
      </c>
      <c r="H1" s="1" t="str">
        <f>"手续费"</f>
        <v>手续费</v>
      </c>
      <c r="I1" s="1" t="str">
        <f>"净佣金"</f>
        <v>净佣金</v>
      </c>
      <c r="J1" s="1" t="str">
        <f>"印花税"</f>
        <v>印花税</v>
      </c>
      <c r="K1" s="1" t="str">
        <f>"过户费"</f>
        <v>过户费</v>
      </c>
      <c r="L1" s="1" t="str">
        <f>"结算费"</f>
        <v>结算费</v>
      </c>
      <c r="M1" s="1" t="str">
        <f>"其他费"</f>
        <v>其他费</v>
      </c>
      <c r="N1" s="1" t="str">
        <f>"发生金额"</f>
        <v>发生金额</v>
      </c>
      <c r="O1" s="1" t="str">
        <f>"剩余金额"</f>
        <v>剩余金额</v>
      </c>
      <c r="P1" s="1" t="str">
        <f>"证券数量"</f>
        <v>证券数量</v>
      </c>
      <c r="Q1" s="1" t="str">
        <f>"股东代码"</f>
        <v>股东代码</v>
      </c>
      <c r="R1" s="1" t="str">
        <f>"币种"</f>
        <v>币种</v>
      </c>
      <c r="S1" s="1" t="str">
        <f>"成交编号"</f>
        <v>成交编号</v>
      </c>
    </row>
    <row r="2" spans="1:19">
      <c r="A2" s="1" t="str">
        <f t="shared" ref="A2:A7" si="0">"20171009"</f>
        <v>20171009</v>
      </c>
      <c r="B2" s="1" t="str">
        <f>"002183"</f>
        <v>002183</v>
      </c>
      <c r="C2" s="1" t="str">
        <f>"怡 亚 通"</f>
        <v>怡 亚 通</v>
      </c>
      <c r="D2" s="1" t="str">
        <f>"担保品卖出"</f>
        <v>担保品卖出</v>
      </c>
      <c r="E2" s="1">
        <v>8.66</v>
      </c>
      <c r="F2" s="1">
        <v>2500</v>
      </c>
      <c r="G2" s="1">
        <v>21650</v>
      </c>
      <c r="H2" s="1">
        <v>6.71</v>
      </c>
      <c r="I2" s="1">
        <v>4.8</v>
      </c>
      <c r="J2" s="1">
        <v>21.65</v>
      </c>
      <c r="K2" s="1">
        <v>0</v>
      </c>
      <c r="L2" s="1">
        <v>0</v>
      </c>
      <c r="M2" s="1">
        <v>0</v>
      </c>
      <c r="N2" s="1">
        <v>21621.64</v>
      </c>
      <c r="O2" s="1">
        <v>29043.29</v>
      </c>
      <c r="P2" s="1">
        <v>2500</v>
      </c>
      <c r="Q2" s="1" t="str">
        <f>"0602175409"</f>
        <v>0602175409</v>
      </c>
      <c r="R2" s="1" t="str">
        <f t="shared" ref="R2:R65" si="1">"人民币"</f>
        <v>人民币</v>
      </c>
      <c r="S2" s="1" t="str">
        <f t="shared" ref="S2:S6" si="2">"T4000364"</f>
        <v>T4000364</v>
      </c>
    </row>
    <row r="3" spans="1:19">
      <c r="A3" s="1" t="str">
        <f t="shared" si="0"/>
        <v>20171009</v>
      </c>
      <c r="B3" s="1" t="str">
        <f>"000768"</f>
        <v>000768</v>
      </c>
      <c r="C3" s="1" t="str">
        <f>"中航飞机"</f>
        <v>中航飞机</v>
      </c>
      <c r="D3" s="1" t="str">
        <f>"融资买入"</f>
        <v>融资买入</v>
      </c>
      <c r="E3" s="1">
        <v>19.11</v>
      </c>
      <c r="F3" s="1">
        <v>500</v>
      </c>
      <c r="G3" s="1">
        <v>9555</v>
      </c>
      <c r="H3" s="1">
        <v>5</v>
      </c>
      <c r="I3" s="1">
        <v>4.15</v>
      </c>
      <c r="J3" s="1">
        <v>0</v>
      </c>
      <c r="K3" s="1">
        <v>0</v>
      </c>
      <c r="L3" s="1">
        <v>0</v>
      </c>
      <c r="M3" s="1">
        <v>0</v>
      </c>
      <c r="N3" s="1">
        <v>-9560</v>
      </c>
      <c r="O3" s="1">
        <v>19483.29</v>
      </c>
      <c r="P3" s="1">
        <v>1000</v>
      </c>
      <c r="Q3" s="1" t="str">
        <f>"0602175409"</f>
        <v>0602175409</v>
      </c>
      <c r="R3" s="1" t="str">
        <f t="shared" si="1"/>
        <v>人民币</v>
      </c>
      <c r="S3" s="1" t="str">
        <f>"T4000699"</f>
        <v>T4000699</v>
      </c>
    </row>
    <row r="4" spans="1:19">
      <c r="A4" s="1" t="str">
        <f t="shared" si="0"/>
        <v>20171009</v>
      </c>
      <c r="D4" s="1" t="str">
        <f>"融资借入"</f>
        <v>融资借入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9560</v>
      </c>
      <c r="O4" s="1">
        <v>29043.29</v>
      </c>
      <c r="P4" s="1">
        <v>0</v>
      </c>
      <c r="R4" s="1" t="str">
        <f t="shared" si="1"/>
        <v>人民币</v>
      </c>
      <c r="S4" s="1" t="str">
        <f>"T4000699"</f>
        <v>T4000699</v>
      </c>
    </row>
    <row r="5" spans="1:19">
      <c r="A5" s="1" t="str">
        <f t="shared" si="0"/>
        <v>20171009</v>
      </c>
      <c r="D5" s="1" t="str">
        <f>"偿还融资负债本金"</f>
        <v>偿还融资负债本金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-21385.69</v>
      </c>
      <c r="O5" s="1">
        <v>7657.6</v>
      </c>
      <c r="P5" s="1">
        <v>0</v>
      </c>
      <c r="R5" s="1" t="str">
        <f t="shared" si="1"/>
        <v>人民币</v>
      </c>
      <c r="S5" s="1" t="str">
        <f t="shared" si="2"/>
        <v>T4000364</v>
      </c>
    </row>
    <row r="6" spans="1:19">
      <c r="A6" s="1" t="str">
        <f t="shared" si="0"/>
        <v>20171009</v>
      </c>
      <c r="D6" s="1" t="str">
        <f>"偿还融资负债本金"</f>
        <v>偿还融资负债本金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-177.71</v>
      </c>
      <c r="O6" s="1">
        <v>7479.89</v>
      </c>
      <c r="P6" s="1">
        <v>0</v>
      </c>
      <c r="R6" s="1" t="str">
        <f t="shared" si="1"/>
        <v>人民币</v>
      </c>
      <c r="S6" s="1" t="str">
        <f t="shared" si="2"/>
        <v>T4000364</v>
      </c>
    </row>
    <row r="7" spans="1:18">
      <c r="A7" s="1" t="str">
        <f t="shared" si="0"/>
        <v>20171009</v>
      </c>
      <c r="D7" s="1" t="str">
        <f>"偿还融资利息"</f>
        <v>偿还融资利息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-59.52</v>
      </c>
      <c r="O7" s="1">
        <v>7420.37</v>
      </c>
      <c r="P7" s="1">
        <v>0</v>
      </c>
      <c r="R7" s="1" t="str">
        <f t="shared" si="1"/>
        <v>人民币</v>
      </c>
    </row>
    <row r="8" spans="1:19">
      <c r="A8" s="1" t="str">
        <f t="shared" ref="A8:A18" si="3">"20171012"</f>
        <v>20171012</v>
      </c>
      <c r="B8" s="1" t="str">
        <f>"002023"</f>
        <v>002023</v>
      </c>
      <c r="C8" s="1" t="str">
        <f>"海特高新"</f>
        <v>海特高新</v>
      </c>
      <c r="D8" s="1" t="str">
        <f>"融资买入"</f>
        <v>融资买入</v>
      </c>
      <c r="E8" s="1">
        <v>12.16</v>
      </c>
      <c r="F8" s="1">
        <v>2000</v>
      </c>
      <c r="G8" s="1">
        <v>24320</v>
      </c>
      <c r="H8" s="1">
        <v>12.16</v>
      </c>
      <c r="I8" s="1">
        <v>10</v>
      </c>
      <c r="J8" s="1">
        <v>0</v>
      </c>
      <c r="K8" s="1">
        <v>0</v>
      </c>
      <c r="L8" s="1">
        <v>0</v>
      </c>
      <c r="M8" s="1">
        <v>0</v>
      </c>
      <c r="N8" s="1">
        <v>-24332.16</v>
      </c>
      <c r="O8" s="1">
        <v>-16911.79</v>
      </c>
      <c r="P8" s="1">
        <v>2000</v>
      </c>
      <c r="Q8" s="1" t="str">
        <f t="shared" ref="Q8:Q10" si="4">"0602175409"</f>
        <v>0602175409</v>
      </c>
      <c r="R8" s="1" t="str">
        <f t="shared" si="1"/>
        <v>人民币</v>
      </c>
      <c r="S8" s="1" t="str">
        <f>"T4000564"</f>
        <v>T4000564</v>
      </c>
    </row>
    <row r="9" spans="1:19">
      <c r="A9" s="1" t="str">
        <f t="shared" si="3"/>
        <v>20171012</v>
      </c>
      <c r="B9" s="1" t="str">
        <f>"000768"</f>
        <v>000768</v>
      </c>
      <c r="C9" s="1" t="str">
        <f>"中航飞机"</f>
        <v>中航飞机</v>
      </c>
      <c r="D9" s="1" t="str">
        <f>"担保品卖出"</f>
        <v>担保品卖出</v>
      </c>
      <c r="E9" s="1">
        <v>20.09</v>
      </c>
      <c r="F9" s="1">
        <v>1000</v>
      </c>
      <c r="G9" s="1">
        <v>20090</v>
      </c>
      <c r="H9" s="1">
        <v>6.23</v>
      </c>
      <c r="I9" s="1">
        <v>4.45</v>
      </c>
      <c r="J9" s="1">
        <v>20.09</v>
      </c>
      <c r="K9" s="1">
        <v>0</v>
      </c>
      <c r="L9" s="1">
        <v>0</v>
      </c>
      <c r="M9" s="1">
        <v>0</v>
      </c>
      <c r="N9" s="1">
        <v>20063.68</v>
      </c>
      <c r="O9" s="1">
        <v>3151.89</v>
      </c>
      <c r="P9" s="1">
        <v>0</v>
      </c>
      <c r="Q9" s="1" t="str">
        <f t="shared" si="4"/>
        <v>0602175409</v>
      </c>
      <c r="R9" s="1" t="str">
        <f t="shared" si="1"/>
        <v>人民币</v>
      </c>
      <c r="S9" s="1" t="str">
        <f t="shared" ref="S9:S15" si="5">"T4000629"</f>
        <v>T4000629</v>
      </c>
    </row>
    <row r="10" spans="1:19">
      <c r="A10" s="1" t="str">
        <f t="shared" si="3"/>
        <v>20171012</v>
      </c>
      <c r="B10" s="1" t="str">
        <f>"000543"</f>
        <v>000543</v>
      </c>
      <c r="C10" s="1" t="str">
        <f>"皖能电力"</f>
        <v>皖能电力</v>
      </c>
      <c r="D10" s="1" t="str">
        <f>"融资买入"</f>
        <v>融资买入</v>
      </c>
      <c r="E10" s="1">
        <v>5.69</v>
      </c>
      <c r="F10" s="1">
        <v>3000</v>
      </c>
      <c r="G10" s="1">
        <v>17070</v>
      </c>
      <c r="H10" s="1">
        <v>8.54</v>
      </c>
      <c r="I10" s="1">
        <v>7.03</v>
      </c>
      <c r="J10" s="1">
        <v>0</v>
      </c>
      <c r="K10" s="1">
        <v>0</v>
      </c>
      <c r="L10" s="1">
        <v>0</v>
      </c>
      <c r="M10" s="1">
        <v>0</v>
      </c>
      <c r="N10" s="1">
        <v>-17078.54</v>
      </c>
      <c r="O10" s="1">
        <v>-13926.65</v>
      </c>
      <c r="P10" s="1">
        <v>3000</v>
      </c>
      <c r="Q10" s="1" t="str">
        <f t="shared" si="4"/>
        <v>0602175409</v>
      </c>
      <c r="R10" s="1" t="str">
        <f t="shared" si="1"/>
        <v>人民币</v>
      </c>
      <c r="S10" s="1" t="str">
        <f>"T4000828"</f>
        <v>T4000828</v>
      </c>
    </row>
    <row r="11" spans="1:19">
      <c r="A11" s="1" t="str">
        <f t="shared" si="3"/>
        <v>20171012</v>
      </c>
      <c r="D11" s="1" t="str">
        <f>"融资借入"</f>
        <v>融资借入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24332.16</v>
      </c>
      <c r="O11" s="1">
        <v>10405.51</v>
      </c>
      <c r="P11" s="1">
        <v>0</v>
      </c>
      <c r="R11" s="1" t="str">
        <f t="shared" si="1"/>
        <v>人民币</v>
      </c>
      <c r="S11" s="1" t="str">
        <f>"T4000564"</f>
        <v>T4000564</v>
      </c>
    </row>
    <row r="12" spans="1:19">
      <c r="A12" s="1" t="str">
        <f t="shared" si="3"/>
        <v>20171012</v>
      </c>
      <c r="D12" s="1" t="str">
        <f>"融资借入"</f>
        <v>融资借入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17078.54</v>
      </c>
      <c r="O12" s="1">
        <v>27484.05</v>
      </c>
      <c r="P12" s="1">
        <v>0</v>
      </c>
      <c r="R12" s="1" t="str">
        <f t="shared" si="1"/>
        <v>人民币</v>
      </c>
      <c r="S12" s="1" t="str">
        <f>"T4000828"</f>
        <v>T4000828</v>
      </c>
    </row>
    <row r="13" spans="1:19">
      <c r="A13" s="1" t="str">
        <f t="shared" si="3"/>
        <v>20171012</v>
      </c>
      <c r="D13" s="1" t="str">
        <f t="shared" ref="D13:D15" si="6">"偿还融资负债本金"</f>
        <v>偿还融资负债本金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-80.34</v>
      </c>
      <c r="O13" s="1">
        <v>27403.71</v>
      </c>
      <c r="P13" s="1">
        <v>0</v>
      </c>
      <c r="R13" s="1" t="str">
        <f t="shared" si="1"/>
        <v>人民币</v>
      </c>
      <c r="S13" s="1" t="str">
        <f t="shared" si="5"/>
        <v>T4000629</v>
      </c>
    </row>
    <row r="14" spans="1:19">
      <c r="A14" s="1" t="str">
        <f t="shared" si="3"/>
        <v>20171012</v>
      </c>
      <c r="D14" s="1" t="str">
        <f t="shared" si="6"/>
        <v>偿还融资负债本金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-9225</v>
      </c>
      <c r="O14" s="1">
        <v>18178.71</v>
      </c>
      <c r="P14" s="1">
        <v>0</v>
      </c>
      <c r="R14" s="1" t="str">
        <f t="shared" si="1"/>
        <v>人民币</v>
      </c>
      <c r="S14" s="1" t="str">
        <f t="shared" si="5"/>
        <v>T4000629</v>
      </c>
    </row>
    <row r="15" spans="1:19">
      <c r="A15" s="1" t="str">
        <f t="shared" si="3"/>
        <v>20171012</v>
      </c>
      <c r="D15" s="1" t="str">
        <f t="shared" si="6"/>
        <v>偿还融资负债本金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-9560</v>
      </c>
      <c r="O15" s="1">
        <v>8618.71</v>
      </c>
      <c r="P15" s="1">
        <v>0</v>
      </c>
      <c r="R15" s="1" t="str">
        <f t="shared" si="1"/>
        <v>人民币</v>
      </c>
      <c r="S15" s="1" t="str">
        <f t="shared" si="5"/>
        <v>T4000629</v>
      </c>
    </row>
    <row r="16" spans="1:18">
      <c r="A16" s="1" t="str">
        <f t="shared" si="3"/>
        <v>20171012</v>
      </c>
      <c r="D16" s="1" t="str">
        <f t="shared" ref="D16:D18" si="7">"偿还融资利息"</f>
        <v>偿还融资利息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-13.23</v>
      </c>
      <c r="O16" s="1">
        <v>8605.48</v>
      </c>
      <c r="P16" s="1">
        <v>0</v>
      </c>
      <c r="R16" s="1" t="str">
        <f t="shared" si="1"/>
        <v>人民币</v>
      </c>
    </row>
    <row r="17" spans="1:18">
      <c r="A17" s="1" t="str">
        <f t="shared" si="3"/>
        <v>20171012</v>
      </c>
      <c r="D17" s="1" t="str">
        <f t="shared" si="7"/>
        <v>偿还融资利息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-42.8</v>
      </c>
      <c r="O17" s="1">
        <v>8562.68</v>
      </c>
      <c r="P17" s="1">
        <v>0</v>
      </c>
      <c r="R17" s="1" t="str">
        <f t="shared" si="1"/>
        <v>人民币</v>
      </c>
    </row>
    <row r="18" spans="1:18">
      <c r="A18" s="1" t="str">
        <f t="shared" si="3"/>
        <v>20171012</v>
      </c>
      <c r="D18" s="1" t="str">
        <f t="shared" si="7"/>
        <v>偿还融资利息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-6.66</v>
      </c>
      <c r="O18" s="1">
        <v>8556.02</v>
      </c>
      <c r="P18" s="1">
        <v>0</v>
      </c>
      <c r="R18" s="1" t="str">
        <f t="shared" si="1"/>
        <v>人民币</v>
      </c>
    </row>
    <row r="19" spans="1:19">
      <c r="A19" s="1" t="str">
        <f>"20171013"</f>
        <v>20171013</v>
      </c>
      <c r="B19" s="1" t="str">
        <f>"002183"</f>
        <v>002183</v>
      </c>
      <c r="C19" s="1" t="str">
        <f>"怡 亚 通"</f>
        <v>怡 亚 通</v>
      </c>
      <c r="D19" s="1" t="str">
        <f>"融资买入"</f>
        <v>融资买入</v>
      </c>
      <c r="E19" s="1">
        <v>9.02</v>
      </c>
      <c r="F19" s="1">
        <v>2500</v>
      </c>
      <c r="G19" s="1">
        <v>22550</v>
      </c>
      <c r="H19" s="1">
        <v>11.28</v>
      </c>
      <c r="I19" s="1">
        <v>9.28</v>
      </c>
      <c r="J19" s="1">
        <v>0</v>
      </c>
      <c r="K19" s="1">
        <v>0</v>
      </c>
      <c r="L19" s="1">
        <v>0</v>
      </c>
      <c r="M19" s="1">
        <v>0</v>
      </c>
      <c r="N19" s="1">
        <v>-22561.28</v>
      </c>
      <c r="O19" s="1">
        <v>-14005.26</v>
      </c>
      <c r="P19" s="1">
        <v>5000</v>
      </c>
      <c r="Q19" s="1" t="str">
        <f>"0602175409"</f>
        <v>0602175409</v>
      </c>
      <c r="R19" s="1" t="str">
        <f t="shared" si="1"/>
        <v>人民币</v>
      </c>
      <c r="S19" s="1" t="str">
        <f>"T4000707"</f>
        <v>T4000707</v>
      </c>
    </row>
    <row r="20" spans="1:19">
      <c r="A20" s="1" t="str">
        <f>"20171013"</f>
        <v>20171013</v>
      </c>
      <c r="D20" s="1" t="str">
        <f>"融资借入"</f>
        <v>融资借入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22561.28</v>
      </c>
      <c r="O20" s="1">
        <v>8556.02</v>
      </c>
      <c r="P20" s="1">
        <v>0</v>
      </c>
      <c r="R20" s="1" t="str">
        <f t="shared" si="1"/>
        <v>人民币</v>
      </c>
      <c r="S20" s="1" t="str">
        <f>"T4000707"</f>
        <v>T4000707</v>
      </c>
    </row>
    <row r="21" spans="1:18">
      <c r="A21" s="1" t="str">
        <f t="shared" ref="A21:A25" si="8">"20171020"</f>
        <v>20171020</v>
      </c>
      <c r="D21" s="1" t="str">
        <f t="shared" ref="D21:D25" si="9">"偿还融资利息"</f>
        <v>偿还融资利息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-161.45</v>
      </c>
      <c r="O21" s="1">
        <v>8394.57</v>
      </c>
      <c r="P21" s="1">
        <v>0</v>
      </c>
      <c r="R21" s="1" t="str">
        <f t="shared" si="1"/>
        <v>人民币</v>
      </c>
    </row>
    <row r="22" spans="1:18">
      <c r="A22" s="1" t="str">
        <f t="shared" si="8"/>
        <v>20171020</v>
      </c>
      <c r="D22" s="1" t="str">
        <f t="shared" si="9"/>
        <v>偿还融资利息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-107.34</v>
      </c>
      <c r="O22" s="1">
        <v>8287.23</v>
      </c>
      <c r="P22" s="1">
        <v>0</v>
      </c>
      <c r="R22" s="1" t="str">
        <f t="shared" si="1"/>
        <v>人民币</v>
      </c>
    </row>
    <row r="23" spans="1:18">
      <c r="A23" s="1" t="str">
        <f t="shared" si="8"/>
        <v>20171020</v>
      </c>
      <c r="D23" s="1" t="str">
        <f t="shared" si="9"/>
        <v>偿还融资利息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-50.77</v>
      </c>
      <c r="O23" s="1">
        <v>8236.46</v>
      </c>
      <c r="P23" s="1">
        <v>0</v>
      </c>
      <c r="R23" s="1" t="str">
        <f t="shared" si="1"/>
        <v>人民币</v>
      </c>
    </row>
    <row r="24" spans="1:18">
      <c r="A24" s="1" t="str">
        <f t="shared" si="8"/>
        <v>20171020</v>
      </c>
      <c r="D24" s="1" t="str">
        <f t="shared" si="9"/>
        <v>偿还融资利息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-35.64</v>
      </c>
      <c r="O24" s="1">
        <v>8200.82</v>
      </c>
      <c r="P24" s="1">
        <v>0</v>
      </c>
      <c r="R24" s="1" t="str">
        <f t="shared" si="1"/>
        <v>人民币</v>
      </c>
    </row>
    <row r="25" spans="1:18">
      <c r="A25" s="1" t="str">
        <f t="shared" si="8"/>
        <v>20171020</v>
      </c>
      <c r="D25" s="1" t="str">
        <f t="shared" si="9"/>
        <v>偿还融资利息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-41.85</v>
      </c>
      <c r="O25" s="1">
        <v>8158.97</v>
      </c>
      <c r="P25" s="1">
        <v>0</v>
      </c>
      <c r="R25" s="1" t="str">
        <f t="shared" si="1"/>
        <v>人民币</v>
      </c>
    </row>
    <row r="26" spans="1:19">
      <c r="A26" s="1" t="str">
        <f t="shared" ref="A26:A29" si="10">"20171023"</f>
        <v>20171023</v>
      </c>
      <c r="B26" s="1" t="str">
        <f>"002183"</f>
        <v>002183</v>
      </c>
      <c r="C26" s="1" t="str">
        <f>"怡 亚 通"</f>
        <v>怡 亚 通</v>
      </c>
      <c r="D26" s="1" t="str">
        <f>"担保品卖出"</f>
        <v>担保品卖出</v>
      </c>
      <c r="E26" s="1">
        <v>9.55</v>
      </c>
      <c r="F26" s="1">
        <v>2500</v>
      </c>
      <c r="G26" s="1">
        <v>23875</v>
      </c>
      <c r="H26" s="1">
        <v>7.4</v>
      </c>
      <c r="I26" s="1">
        <v>5.28</v>
      </c>
      <c r="J26" s="1">
        <v>23.88</v>
      </c>
      <c r="K26" s="1">
        <v>0</v>
      </c>
      <c r="L26" s="1">
        <v>0</v>
      </c>
      <c r="M26" s="1">
        <v>0</v>
      </c>
      <c r="N26" s="1">
        <v>23843.72</v>
      </c>
      <c r="O26" s="1">
        <v>32002.69</v>
      </c>
      <c r="P26" s="1">
        <v>2500</v>
      </c>
      <c r="Q26" s="1" t="str">
        <f>"0602175409"</f>
        <v>0602175409</v>
      </c>
      <c r="R26" s="1" t="str">
        <f t="shared" si="1"/>
        <v>人民币</v>
      </c>
      <c r="S26" s="1" t="str">
        <f t="shared" ref="S26:S28" si="11">"T4000165"</f>
        <v>T4000165</v>
      </c>
    </row>
    <row r="27" spans="1:19">
      <c r="A27" s="1" t="str">
        <f t="shared" si="10"/>
        <v>20171023</v>
      </c>
      <c r="D27" s="1" t="str">
        <f>"偿还融资负债本金"</f>
        <v>偿还融资负债本金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-20957.85</v>
      </c>
      <c r="O27" s="1">
        <v>11044.84</v>
      </c>
      <c r="P27" s="1">
        <v>0</v>
      </c>
      <c r="R27" s="1" t="str">
        <f t="shared" si="1"/>
        <v>人民币</v>
      </c>
      <c r="S27" s="1" t="str">
        <f t="shared" si="11"/>
        <v>T4000165</v>
      </c>
    </row>
    <row r="28" spans="1:19">
      <c r="A28" s="1" t="str">
        <f t="shared" si="10"/>
        <v>20171023</v>
      </c>
      <c r="D28" s="1" t="str">
        <f>"偿还融资负债本金"</f>
        <v>偿还融资负债本金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-2821.64</v>
      </c>
      <c r="O28" s="1">
        <v>8223.2</v>
      </c>
      <c r="P28" s="1">
        <v>0</v>
      </c>
      <c r="R28" s="1" t="str">
        <f t="shared" si="1"/>
        <v>人民币</v>
      </c>
      <c r="S28" s="1" t="str">
        <f t="shared" si="11"/>
        <v>T4000165</v>
      </c>
    </row>
    <row r="29" spans="1:18">
      <c r="A29" s="1" t="str">
        <f t="shared" si="10"/>
        <v>20171023</v>
      </c>
      <c r="D29" s="1" t="str">
        <f>"偿还融资利息"</f>
        <v>偿还融资利息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-9.72</v>
      </c>
      <c r="O29" s="1">
        <v>8213.48</v>
      </c>
      <c r="P29" s="1">
        <v>0</v>
      </c>
      <c r="R29" s="1" t="str">
        <f t="shared" si="1"/>
        <v>人民币</v>
      </c>
    </row>
    <row r="30" spans="1:19">
      <c r="A30" s="1" t="str">
        <f>"20171024"</f>
        <v>20171024</v>
      </c>
      <c r="B30" s="1" t="str">
        <f>"002183"</f>
        <v>002183</v>
      </c>
      <c r="C30" s="1" t="str">
        <f>"怡 亚 通"</f>
        <v>怡 亚 通</v>
      </c>
      <c r="D30" s="1" t="str">
        <f>"融资买入"</f>
        <v>融资买入</v>
      </c>
      <c r="E30" s="1">
        <v>9.13</v>
      </c>
      <c r="F30" s="1">
        <v>2500</v>
      </c>
      <c r="G30" s="1">
        <v>22825</v>
      </c>
      <c r="H30" s="1">
        <v>11.41</v>
      </c>
      <c r="I30" s="1">
        <v>9.38</v>
      </c>
      <c r="J30" s="1">
        <v>0</v>
      </c>
      <c r="K30" s="1">
        <v>0</v>
      </c>
      <c r="L30" s="1">
        <v>0</v>
      </c>
      <c r="M30" s="1">
        <v>0</v>
      </c>
      <c r="N30" s="1">
        <v>-22836.41</v>
      </c>
      <c r="O30" s="1">
        <v>-14622.93</v>
      </c>
      <c r="P30" s="1">
        <v>5000</v>
      </c>
      <c r="Q30" s="1" t="str">
        <f t="shared" ref="Q30:Q37" si="12">"0602175409"</f>
        <v>0602175409</v>
      </c>
      <c r="R30" s="1" t="str">
        <f t="shared" si="1"/>
        <v>人民币</v>
      </c>
      <c r="S30" s="1" t="str">
        <f>"T4000162"</f>
        <v>T4000162</v>
      </c>
    </row>
    <row r="31" spans="1:19">
      <c r="A31" s="1" t="str">
        <f>"20171024"</f>
        <v>20171024</v>
      </c>
      <c r="D31" s="1" t="str">
        <f>"融资借入"</f>
        <v>融资借入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22836.41</v>
      </c>
      <c r="O31" s="1">
        <v>8213.48</v>
      </c>
      <c r="P31" s="1">
        <v>0</v>
      </c>
      <c r="R31" s="1" t="str">
        <f t="shared" si="1"/>
        <v>人民币</v>
      </c>
      <c r="S31" s="1" t="str">
        <f>"T4000162"</f>
        <v>T4000162</v>
      </c>
    </row>
    <row r="32" spans="1:19">
      <c r="A32" s="1" t="str">
        <f>"20171026"</f>
        <v>20171026</v>
      </c>
      <c r="B32" s="1" t="str">
        <f t="shared" ref="B32:B34" si="13">"000601"</f>
        <v>000601</v>
      </c>
      <c r="C32" s="1" t="str">
        <f t="shared" ref="C32:C34" si="14">"韶能股份"</f>
        <v>韶能股份</v>
      </c>
      <c r="D32" s="1" t="str">
        <f t="shared" ref="D32:D35" si="15">"担保品卖出"</f>
        <v>担保品卖出</v>
      </c>
      <c r="E32" s="1">
        <v>7.75</v>
      </c>
      <c r="F32" s="1">
        <v>3000</v>
      </c>
      <c r="G32" s="1">
        <v>23250</v>
      </c>
      <c r="H32" s="1">
        <v>7.21</v>
      </c>
      <c r="I32" s="1">
        <v>5.14</v>
      </c>
      <c r="J32" s="1">
        <v>23.25</v>
      </c>
      <c r="K32" s="1">
        <v>0</v>
      </c>
      <c r="L32" s="1">
        <v>0</v>
      </c>
      <c r="M32" s="1">
        <v>0</v>
      </c>
      <c r="N32" s="1">
        <v>23219.54</v>
      </c>
      <c r="O32" s="1">
        <v>31433.02</v>
      </c>
      <c r="P32" s="1">
        <v>6000</v>
      </c>
      <c r="Q32" s="1" t="str">
        <f t="shared" si="12"/>
        <v>0602175409</v>
      </c>
      <c r="R32" s="1" t="str">
        <f t="shared" si="1"/>
        <v>人民币</v>
      </c>
      <c r="S32" s="1" t="str">
        <f>"T4000573"</f>
        <v>T4000573</v>
      </c>
    </row>
    <row r="33" spans="1:19">
      <c r="A33" s="1" t="str">
        <f>"20171026"</f>
        <v>20171026</v>
      </c>
      <c r="B33" s="1" t="str">
        <f t="shared" si="13"/>
        <v>000601</v>
      </c>
      <c r="C33" s="1" t="str">
        <f t="shared" si="14"/>
        <v>韶能股份</v>
      </c>
      <c r="D33" s="1" t="str">
        <f t="shared" si="15"/>
        <v>担保品卖出</v>
      </c>
      <c r="E33" s="1">
        <v>7.89</v>
      </c>
      <c r="F33" s="1">
        <v>3000</v>
      </c>
      <c r="G33" s="1">
        <v>23670</v>
      </c>
      <c r="H33" s="1">
        <v>7.34</v>
      </c>
      <c r="I33" s="1">
        <v>5.25</v>
      </c>
      <c r="J33" s="1">
        <v>23.67</v>
      </c>
      <c r="K33" s="1">
        <v>0</v>
      </c>
      <c r="L33" s="1">
        <v>0</v>
      </c>
      <c r="M33" s="1">
        <v>0</v>
      </c>
      <c r="N33" s="1">
        <v>23638.99</v>
      </c>
      <c r="O33" s="1">
        <v>55072.01</v>
      </c>
      <c r="P33" s="1">
        <v>3000</v>
      </c>
      <c r="Q33" s="1" t="str">
        <f t="shared" si="12"/>
        <v>0602175409</v>
      </c>
      <c r="R33" s="1" t="str">
        <f t="shared" si="1"/>
        <v>人民币</v>
      </c>
      <c r="S33" s="1" t="str">
        <f>"T4001264"</f>
        <v>T4001264</v>
      </c>
    </row>
    <row r="34" spans="1:18">
      <c r="A34" s="1" t="str">
        <f t="shared" ref="A34:A40" si="16">"20171027"</f>
        <v>20171027</v>
      </c>
      <c r="B34" s="1" t="str">
        <f t="shared" si="13"/>
        <v>000601</v>
      </c>
      <c r="C34" s="1" t="str">
        <f t="shared" si="14"/>
        <v>韶能股份</v>
      </c>
      <c r="D34" s="1" t="str">
        <f>"股息红利差异扣税"</f>
        <v>股息红利差异扣税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-90</v>
      </c>
      <c r="O34" s="1">
        <v>54982.01</v>
      </c>
      <c r="P34" s="1">
        <v>0</v>
      </c>
      <c r="Q34" s="1" t="str">
        <f t="shared" si="12"/>
        <v>0602175409</v>
      </c>
      <c r="R34" s="1" t="str">
        <f t="shared" si="1"/>
        <v>人民币</v>
      </c>
    </row>
    <row r="35" spans="1:19">
      <c r="A35" s="1" t="str">
        <f t="shared" si="16"/>
        <v>20171027</v>
      </c>
      <c r="B35" s="1" t="str">
        <f>"002023"</f>
        <v>002023</v>
      </c>
      <c r="C35" s="1" t="str">
        <f>"海特高新"</f>
        <v>海特高新</v>
      </c>
      <c r="D35" s="1" t="str">
        <f t="shared" si="15"/>
        <v>担保品卖出</v>
      </c>
      <c r="E35" s="1">
        <v>11.09</v>
      </c>
      <c r="F35" s="1">
        <v>2000</v>
      </c>
      <c r="G35" s="1">
        <v>22180</v>
      </c>
      <c r="H35" s="1">
        <v>6.88</v>
      </c>
      <c r="I35" s="1">
        <v>4.92</v>
      </c>
      <c r="J35" s="1">
        <v>22.18</v>
      </c>
      <c r="K35" s="1">
        <v>0</v>
      </c>
      <c r="L35" s="1">
        <v>0</v>
      </c>
      <c r="M35" s="1">
        <v>0</v>
      </c>
      <c r="N35" s="1">
        <v>22150.94</v>
      </c>
      <c r="O35" s="1">
        <v>77132.95</v>
      </c>
      <c r="P35" s="1">
        <v>0</v>
      </c>
      <c r="Q35" s="1" t="str">
        <f t="shared" si="12"/>
        <v>0602175409</v>
      </c>
      <c r="R35" s="1" t="str">
        <f t="shared" si="1"/>
        <v>人民币</v>
      </c>
      <c r="S35" s="1" t="str">
        <f>"T4000958"</f>
        <v>T4000958</v>
      </c>
    </row>
    <row r="36" spans="1:19">
      <c r="A36" s="1" t="str">
        <f t="shared" si="16"/>
        <v>20171027</v>
      </c>
      <c r="B36" s="1" t="str">
        <f>"000543"</f>
        <v>000543</v>
      </c>
      <c r="C36" s="1" t="str">
        <f>"皖能电力"</f>
        <v>皖能电力</v>
      </c>
      <c r="D36" s="1" t="str">
        <f t="shared" ref="D36:D41" si="17">"融资买入"</f>
        <v>融资买入</v>
      </c>
      <c r="E36" s="1">
        <v>5.57</v>
      </c>
      <c r="F36" s="1">
        <v>3000</v>
      </c>
      <c r="G36" s="1">
        <v>16710</v>
      </c>
      <c r="H36" s="1">
        <v>8.36</v>
      </c>
      <c r="I36" s="1">
        <v>6.89</v>
      </c>
      <c r="J36" s="1">
        <v>0</v>
      </c>
      <c r="K36" s="1">
        <v>0</v>
      </c>
      <c r="L36" s="1">
        <v>0</v>
      </c>
      <c r="M36" s="1">
        <v>0</v>
      </c>
      <c r="N36" s="1">
        <v>-16718.36</v>
      </c>
      <c r="O36" s="1">
        <v>60414.59</v>
      </c>
      <c r="P36" s="1">
        <v>6000</v>
      </c>
      <c r="Q36" s="1" t="str">
        <f t="shared" si="12"/>
        <v>0602175409</v>
      </c>
      <c r="R36" s="1" t="str">
        <f t="shared" si="1"/>
        <v>人民币</v>
      </c>
      <c r="S36" s="1" t="str">
        <f>"T4001030"</f>
        <v>T4001030</v>
      </c>
    </row>
    <row r="37" spans="1:19">
      <c r="A37" s="1" t="str">
        <f t="shared" si="16"/>
        <v>20171027</v>
      </c>
      <c r="B37" s="1" t="str">
        <f>"000768"</f>
        <v>000768</v>
      </c>
      <c r="C37" s="1" t="str">
        <f>"中航飞机"</f>
        <v>中航飞机</v>
      </c>
      <c r="D37" s="1" t="str">
        <f t="shared" si="17"/>
        <v>融资买入</v>
      </c>
      <c r="E37" s="1">
        <v>19.2</v>
      </c>
      <c r="F37" s="1">
        <v>1000</v>
      </c>
      <c r="G37" s="1">
        <v>19200</v>
      </c>
      <c r="H37" s="1">
        <v>9.6</v>
      </c>
      <c r="I37" s="1">
        <v>7.91</v>
      </c>
      <c r="J37" s="1">
        <v>0</v>
      </c>
      <c r="K37" s="1">
        <v>0</v>
      </c>
      <c r="L37" s="1">
        <v>0</v>
      </c>
      <c r="M37" s="1">
        <v>0</v>
      </c>
      <c r="N37" s="1">
        <v>-19209.6</v>
      </c>
      <c r="O37" s="1">
        <v>41204.99</v>
      </c>
      <c r="P37" s="1">
        <v>1000</v>
      </c>
      <c r="Q37" s="1" t="str">
        <f t="shared" si="12"/>
        <v>0602175409</v>
      </c>
      <c r="R37" s="1" t="str">
        <f t="shared" si="1"/>
        <v>人民币</v>
      </c>
      <c r="S37" s="1" t="str">
        <f>"T4001036"</f>
        <v>T4001036</v>
      </c>
    </row>
    <row r="38" spans="1:19">
      <c r="A38" s="1" t="str">
        <f t="shared" si="16"/>
        <v>20171027</v>
      </c>
      <c r="D38" s="1" t="str">
        <f>"融资借入"</f>
        <v>融资借入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16718.36</v>
      </c>
      <c r="O38" s="1">
        <v>57923.35</v>
      </c>
      <c r="P38" s="1">
        <v>0</v>
      </c>
      <c r="R38" s="1" t="str">
        <f t="shared" si="1"/>
        <v>人民币</v>
      </c>
      <c r="S38" s="1" t="str">
        <f>"T4001030"</f>
        <v>T4001030</v>
      </c>
    </row>
    <row r="39" spans="1:19">
      <c r="A39" s="1" t="str">
        <f t="shared" si="16"/>
        <v>20171027</v>
      </c>
      <c r="D39" s="1" t="str">
        <f>"融资借入"</f>
        <v>融资借入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19209.6</v>
      </c>
      <c r="O39" s="1">
        <v>77132.95</v>
      </c>
      <c r="P39" s="1">
        <v>0</v>
      </c>
      <c r="R39" s="1" t="str">
        <f t="shared" si="1"/>
        <v>人民币</v>
      </c>
      <c r="S39" s="1" t="str">
        <f>"T4001036"</f>
        <v>T4001036</v>
      </c>
    </row>
    <row r="40" spans="1:19">
      <c r="A40" s="1" t="str">
        <f t="shared" si="16"/>
        <v>20171027</v>
      </c>
      <c r="D40" s="1" t="str">
        <f>"偿还融资负债本金"</f>
        <v>偿还融资负债本金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-22091.28</v>
      </c>
      <c r="O40" s="1">
        <v>55041.67</v>
      </c>
      <c r="P40" s="1">
        <v>0</v>
      </c>
      <c r="R40" s="1" t="str">
        <f t="shared" si="1"/>
        <v>人民币</v>
      </c>
      <c r="S40" s="1" t="str">
        <f>"T4000958"</f>
        <v>T4000958</v>
      </c>
    </row>
    <row r="41" spans="1:19">
      <c r="A41" s="1" t="str">
        <f t="shared" ref="A41:A49" si="18">"20171030"</f>
        <v>20171030</v>
      </c>
      <c r="B41" s="1" t="str">
        <f t="shared" ref="B41:B44" si="19">"002183"</f>
        <v>002183</v>
      </c>
      <c r="C41" s="1" t="str">
        <f t="shared" ref="C41:C44" si="20">"怡 亚 通"</f>
        <v>怡 亚 通</v>
      </c>
      <c r="D41" s="1" t="str">
        <f t="shared" si="17"/>
        <v>融资买入</v>
      </c>
      <c r="E41" s="1">
        <v>8.65</v>
      </c>
      <c r="F41" s="1">
        <v>2500</v>
      </c>
      <c r="G41" s="1">
        <v>21625</v>
      </c>
      <c r="H41" s="1">
        <v>10.81</v>
      </c>
      <c r="I41" s="1">
        <v>8.89</v>
      </c>
      <c r="J41" s="1">
        <v>0</v>
      </c>
      <c r="K41" s="1">
        <v>0</v>
      </c>
      <c r="L41" s="1">
        <v>0</v>
      </c>
      <c r="M41" s="1">
        <v>0</v>
      </c>
      <c r="N41" s="1">
        <v>-21635.81</v>
      </c>
      <c r="O41" s="1">
        <v>33405.86</v>
      </c>
      <c r="P41" s="1">
        <v>7500</v>
      </c>
      <c r="Q41" s="1" t="str">
        <f t="shared" ref="Q41:Q44" si="21">"0602175409"</f>
        <v>0602175409</v>
      </c>
      <c r="R41" s="1" t="str">
        <f t="shared" si="1"/>
        <v>人民币</v>
      </c>
      <c r="S41" s="1" t="str">
        <f>"T4000157"</f>
        <v>T4000157</v>
      </c>
    </row>
    <row r="42" spans="1:19">
      <c r="A42" s="1" t="str">
        <f t="shared" si="18"/>
        <v>20171030</v>
      </c>
      <c r="B42" s="1" t="str">
        <f t="shared" si="19"/>
        <v>002183</v>
      </c>
      <c r="C42" s="1" t="str">
        <f t="shared" si="20"/>
        <v>怡 亚 通</v>
      </c>
      <c r="D42" s="1" t="str">
        <f>"担保品卖出"</f>
        <v>担保品卖出</v>
      </c>
      <c r="E42" s="1">
        <v>8.45</v>
      </c>
      <c r="F42" s="1">
        <v>5000</v>
      </c>
      <c r="G42" s="1">
        <v>42250</v>
      </c>
      <c r="H42" s="1">
        <v>13.1</v>
      </c>
      <c r="I42" s="1">
        <v>9.35</v>
      </c>
      <c r="J42" s="1">
        <v>42.27</v>
      </c>
      <c r="K42" s="1">
        <v>0</v>
      </c>
      <c r="L42" s="1">
        <v>0</v>
      </c>
      <c r="M42" s="1">
        <v>0</v>
      </c>
      <c r="N42" s="1">
        <v>42194.63</v>
      </c>
      <c r="O42" s="1">
        <v>75600.49</v>
      </c>
      <c r="P42" s="1">
        <v>2500</v>
      </c>
      <c r="Q42" s="1" t="str">
        <f t="shared" si="21"/>
        <v>0602175409</v>
      </c>
      <c r="R42" s="1" t="str">
        <f t="shared" si="1"/>
        <v>人民币</v>
      </c>
      <c r="S42" s="1" t="str">
        <f>"T4000219"</f>
        <v>T4000219</v>
      </c>
    </row>
    <row r="43" spans="1:19">
      <c r="A43" s="1" t="str">
        <f t="shared" si="18"/>
        <v>20171030</v>
      </c>
      <c r="B43" s="1" t="str">
        <f>"000601"</f>
        <v>000601</v>
      </c>
      <c r="C43" s="1" t="str">
        <f>"韶能股份"</f>
        <v>韶能股份</v>
      </c>
      <c r="D43" s="1" t="str">
        <f>"担保品卖出"</f>
        <v>担保品卖出</v>
      </c>
      <c r="E43" s="1">
        <v>7.87</v>
      </c>
      <c r="F43" s="1">
        <v>3000</v>
      </c>
      <c r="G43" s="1">
        <v>23610</v>
      </c>
      <c r="H43" s="1">
        <v>7.32</v>
      </c>
      <c r="I43" s="1">
        <v>5.23</v>
      </c>
      <c r="J43" s="1">
        <v>23.61</v>
      </c>
      <c r="K43" s="1">
        <v>0</v>
      </c>
      <c r="L43" s="1">
        <v>0</v>
      </c>
      <c r="M43" s="1">
        <v>0</v>
      </c>
      <c r="N43" s="1">
        <v>23579.07</v>
      </c>
      <c r="O43" s="1">
        <v>99179.56</v>
      </c>
      <c r="P43" s="1">
        <v>0</v>
      </c>
      <c r="Q43" s="1" t="str">
        <f t="shared" si="21"/>
        <v>0602175409</v>
      </c>
      <c r="R43" s="1" t="str">
        <f t="shared" si="1"/>
        <v>人民币</v>
      </c>
      <c r="S43" s="1" t="str">
        <f>"T4000222"</f>
        <v>T4000222</v>
      </c>
    </row>
    <row r="44" spans="1:19">
      <c r="A44" s="1" t="str">
        <f t="shared" si="18"/>
        <v>20171030</v>
      </c>
      <c r="B44" s="1" t="str">
        <f t="shared" si="19"/>
        <v>002183</v>
      </c>
      <c r="C44" s="1" t="str">
        <f t="shared" si="20"/>
        <v>怡 亚 通</v>
      </c>
      <c r="D44" s="1" t="str">
        <f>"融资买入"</f>
        <v>融资买入</v>
      </c>
      <c r="E44" s="1">
        <v>8.33</v>
      </c>
      <c r="F44" s="1">
        <v>2500</v>
      </c>
      <c r="G44" s="1">
        <v>20825</v>
      </c>
      <c r="H44" s="1">
        <v>10.41</v>
      </c>
      <c r="I44" s="1">
        <v>8.56</v>
      </c>
      <c r="J44" s="1">
        <v>0</v>
      </c>
      <c r="K44" s="1">
        <v>0</v>
      </c>
      <c r="L44" s="1">
        <v>0</v>
      </c>
      <c r="M44" s="1">
        <v>0</v>
      </c>
      <c r="N44" s="1">
        <v>-20835.41</v>
      </c>
      <c r="O44" s="1">
        <v>78344.15</v>
      </c>
      <c r="P44" s="1">
        <v>5000</v>
      </c>
      <c r="Q44" s="1" t="str">
        <f t="shared" si="21"/>
        <v>0602175409</v>
      </c>
      <c r="R44" s="1" t="str">
        <f t="shared" si="1"/>
        <v>人民币</v>
      </c>
      <c r="S44" s="1" t="str">
        <f>"T4000325"</f>
        <v>T4000325</v>
      </c>
    </row>
    <row r="45" spans="1:19">
      <c r="A45" s="1" t="str">
        <f t="shared" si="18"/>
        <v>20171030</v>
      </c>
      <c r="D45" s="1" t="str">
        <f>"融资借入"</f>
        <v>融资借入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21635.81</v>
      </c>
      <c r="O45" s="1">
        <v>99979.96</v>
      </c>
      <c r="P45" s="1">
        <v>0</v>
      </c>
      <c r="R45" s="1" t="str">
        <f t="shared" si="1"/>
        <v>人民币</v>
      </c>
      <c r="S45" s="1" t="str">
        <f>"T4000157"</f>
        <v>T4000157</v>
      </c>
    </row>
    <row r="46" spans="1:19">
      <c r="A46" s="1" t="str">
        <f t="shared" si="18"/>
        <v>20171030</v>
      </c>
      <c r="D46" s="1" t="str">
        <f>"融资借入"</f>
        <v>融资借入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20835.41</v>
      </c>
      <c r="O46" s="1">
        <v>120815.37</v>
      </c>
      <c r="P46" s="1">
        <v>0</v>
      </c>
      <c r="R46" s="1" t="str">
        <f t="shared" si="1"/>
        <v>人民币</v>
      </c>
      <c r="S46" s="1" t="str">
        <f>"T4000325"</f>
        <v>T4000325</v>
      </c>
    </row>
    <row r="47" spans="1:19">
      <c r="A47" s="1" t="str">
        <f t="shared" si="18"/>
        <v>20171030</v>
      </c>
      <c r="D47" s="1" t="str">
        <f>"偿还融资负债本金"</f>
        <v>偿还融资负债本金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-19739.64</v>
      </c>
      <c r="O47" s="1">
        <v>101075.73</v>
      </c>
      <c r="P47" s="1">
        <v>0</v>
      </c>
      <c r="R47" s="1" t="str">
        <f t="shared" si="1"/>
        <v>人民币</v>
      </c>
      <c r="S47" s="1" t="str">
        <f>"T4000219"</f>
        <v>T4000219</v>
      </c>
    </row>
    <row r="48" spans="1:19">
      <c r="A48" s="1" t="str">
        <f t="shared" si="18"/>
        <v>20171030</v>
      </c>
      <c r="D48" s="1" t="str">
        <f>"偿还融资负债本金"</f>
        <v>偿还融资负债本金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-22341.36</v>
      </c>
      <c r="O48" s="1">
        <v>78734.37</v>
      </c>
      <c r="P48" s="1">
        <v>0</v>
      </c>
      <c r="R48" s="1" t="str">
        <f t="shared" si="1"/>
        <v>人民币</v>
      </c>
      <c r="S48" s="1" t="str">
        <f>"T4000219"</f>
        <v>T4000219</v>
      </c>
    </row>
    <row r="49" spans="1:18">
      <c r="A49" s="1" t="str">
        <f t="shared" si="18"/>
        <v>20171030</v>
      </c>
      <c r="D49" s="1" t="str">
        <f>"偿还融资利息"</f>
        <v>偿还融资利息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-42.53</v>
      </c>
      <c r="O49" s="1">
        <v>78691.84</v>
      </c>
      <c r="P49" s="1">
        <v>0</v>
      </c>
      <c r="R49" s="1" t="str">
        <f t="shared" si="1"/>
        <v>人民币</v>
      </c>
    </row>
    <row r="50" spans="1:19">
      <c r="A50" s="1" t="str">
        <f t="shared" ref="A50:A55" si="22">"20171103"</f>
        <v>20171103</v>
      </c>
      <c r="B50" s="1" t="str">
        <f>"000601"</f>
        <v>000601</v>
      </c>
      <c r="C50" s="1" t="str">
        <f>"韶能股份"</f>
        <v>韶能股份</v>
      </c>
      <c r="D50" s="1" t="str">
        <f>"担保品买入"</f>
        <v>担保品买入</v>
      </c>
      <c r="E50" s="1">
        <v>8.28</v>
      </c>
      <c r="F50" s="1">
        <v>3000</v>
      </c>
      <c r="G50" s="1">
        <v>24840</v>
      </c>
      <c r="H50" s="1">
        <v>7.7</v>
      </c>
      <c r="I50" s="1">
        <v>5.49</v>
      </c>
      <c r="J50" s="1">
        <v>0</v>
      </c>
      <c r="K50" s="1">
        <v>0</v>
      </c>
      <c r="L50" s="1">
        <v>0</v>
      </c>
      <c r="M50" s="1">
        <v>0</v>
      </c>
      <c r="N50" s="1">
        <v>-24847.7</v>
      </c>
      <c r="O50" s="1">
        <v>53844.14</v>
      </c>
      <c r="P50" s="1">
        <v>3000</v>
      </c>
      <c r="Q50" s="1" t="str">
        <f t="shared" ref="Q50:Q52" si="23">"0602175409"</f>
        <v>0602175409</v>
      </c>
      <c r="R50" s="1" t="str">
        <f t="shared" si="1"/>
        <v>人民币</v>
      </c>
      <c r="S50" s="1" t="str">
        <f>"T4000158"</f>
        <v>T4000158</v>
      </c>
    </row>
    <row r="51" spans="1:19">
      <c r="A51" s="1" t="str">
        <f t="shared" si="22"/>
        <v>20171103</v>
      </c>
      <c r="B51" s="1" t="str">
        <f>"002183"</f>
        <v>002183</v>
      </c>
      <c r="C51" s="1" t="str">
        <f>"怡 亚 通"</f>
        <v>怡 亚 通</v>
      </c>
      <c r="D51" s="1" t="str">
        <f>"担保品卖出"</f>
        <v>担保品卖出</v>
      </c>
      <c r="E51" s="1">
        <v>8.36</v>
      </c>
      <c r="F51" s="1">
        <v>2500</v>
      </c>
      <c r="G51" s="1">
        <v>20900</v>
      </c>
      <c r="H51" s="1">
        <v>6.48</v>
      </c>
      <c r="I51" s="1">
        <v>4.62</v>
      </c>
      <c r="J51" s="1">
        <v>20.9</v>
      </c>
      <c r="K51" s="1">
        <v>0</v>
      </c>
      <c r="L51" s="1">
        <v>0</v>
      </c>
      <c r="M51" s="1">
        <v>0</v>
      </c>
      <c r="N51" s="1">
        <v>20872.62</v>
      </c>
      <c r="O51" s="1">
        <v>74716.76</v>
      </c>
      <c r="P51" s="1">
        <v>2500</v>
      </c>
      <c r="Q51" s="1" t="str">
        <f t="shared" si="23"/>
        <v>0602175409</v>
      </c>
      <c r="R51" s="1" t="str">
        <f t="shared" si="1"/>
        <v>人民币</v>
      </c>
      <c r="S51" s="1" t="str">
        <f t="shared" ref="S51:S54" si="24">"T4000241"</f>
        <v>T4000241</v>
      </c>
    </row>
    <row r="52" spans="1:19">
      <c r="A52" s="1" t="str">
        <f t="shared" si="22"/>
        <v>20171103</v>
      </c>
      <c r="B52" s="1" t="str">
        <f>"000768"</f>
        <v>000768</v>
      </c>
      <c r="C52" s="1" t="str">
        <f>"中航飞机"</f>
        <v>中航飞机</v>
      </c>
      <c r="D52" s="1" t="str">
        <f>"担保品买入"</f>
        <v>担保品买入</v>
      </c>
      <c r="E52" s="1">
        <v>17.89</v>
      </c>
      <c r="F52" s="1">
        <v>1000</v>
      </c>
      <c r="G52" s="1">
        <v>17890</v>
      </c>
      <c r="H52" s="1">
        <v>5.55</v>
      </c>
      <c r="I52" s="1">
        <v>3.96</v>
      </c>
      <c r="J52" s="1">
        <v>0</v>
      </c>
      <c r="K52" s="1">
        <v>0</v>
      </c>
      <c r="L52" s="1">
        <v>0</v>
      </c>
      <c r="M52" s="1">
        <v>0</v>
      </c>
      <c r="N52" s="1">
        <v>-17895.55</v>
      </c>
      <c r="O52" s="1">
        <v>56821.21</v>
      </c>
      <c r="P52" s="1">
        <v>2000</v>
      </c>
      <c r="Q52" s="1" t="str">
        <f t="shared" si="23"/>
        <v>0602175409</v>
      </c>
      <c r="R52" s="1" t="str">
        <f t="shared" si="1"/>
        <v>人民币</v>
      </c>
      <c r="S52" s="1" t="str">
        <f>"T4000559"</f>
        <v>T4000559</v>
      </c>
    </row>
    <row r="53" spans="1:19">
      <c r="A53" s="1" t="str">
        <f t="shared" si="22"/>
        <v>20171103</v>
      </c>
      <c r="D53" s="1" t="str">
        <f t="shared" ref="D53:D57" si="25">"偿还融资负债本金"</f>
        <v>偿还融资负债本金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-495.05</v>
      </c>
      <c r="O53" s="1">
        <v>56326.16</v>
      </c>
      <c r="P53" s="1">
        <v>0</v>
      </c>
      <c r="R53" s="1" t="str">
        <f t="shared" si="1"/>
        <v>人民币</v>
      </c>
      <c r="S53" s="1" t="str">
        <f t="shared" si="24"/>
        <v>T4000241</v>
      </c>
    </row>
    <row r="54" spans="1:19">
      <c r="A54" s="1" t="str">
        <f t="shared" si="22"/>
        <v>20171103</v>
      </c>
      <c r="D54" s="1" t="str">
        <f t="shared" si="25"/>
        <v>偿还融资负债本金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-20321.35</v>
      </c>
      <c r="O54" s="1">
        <v>36004.81</v>
      </c>
      <c r="P54" s="1">
        <v>0</v>
      </c>
      <c r="R54" s="1" t="str">
        <f t="shared" si="1"/>
        <v>人民币</v>
      </c>
      <c r="S54" s="1" t="str">
        <f t="shared" si="24"/>
        <v>T4000241</v>
      </c>
    </row>
    <row r="55" spans="1:18">
      <c r="A55" s="1" t="str">
        <f t="shared" si="22"/>
        <v>20171103</v>
      </c>
      <c r="D55" s="1" t="str">
        <f>"偿还融资利息"</f>
        <v>偿还融资利息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-32.23</v>
      </c>
      <c r="O55" s="1">
        <v>35972.58</v>
      </c>
      <c r="P55" s="1">
        <v>0</v>
      </c>
      <c r="R55" s="1" t="str">
        <f t="shared" si="1"/>
        <v>人民币</v>
      </c>
    </row>
    <row r="56" spans="1:19">
      <c r="A56" s="1" t="str">
        <f>"20171106"</f>
        <v>20171106</v>
      </c>
      <c r="B56" s="1" t="str">
        <f t="shared" ref="B56:B59" si="26">"000768"</f>
        <v>000768</v>
      </c>
      <c r="C56" s="1" t="str">
        <f t="shared" ref="C56:C59" si="27">"中航飞机"</f>
        <v>中航飞机</v>
      </c>
      <c r="D56" s="1" t="str">
        <f>"担保品卖出"</f>
        <v>担保品卖出</v>
      </c>
      <c r="E56" s="1">
        <v>18.08</v>
      </c>
      <c r="F56" s="1">
        <v>1000</v>
      </c>
      <c r="G56" s="1">
        <v>18080</v>
      </c>
      <c r="H56" s="1">
        <v>5.6</v>
      </c>
      <c r="I56" s="1">
        <v>4</v>
      </c>
      <c r="J56" s="1">
        <v>18.08</v>
      </c>
      <c r="K56" s="1">
        <v>0</v>
      </c>
      <c r="L56" s="1">
        <v>0</v>
      </c>
      <c r="M56" s="1">
        <v>0</v>
      </c>
      <c r="N56" s="1">
        <v>18056.32</v>
      </c>
      <c r="O56" s="1">
        <v>54028.9</v>
      </c>
      <c r="P56" s="1">
        <v>1000</v>
      </c>
      <c r="Q56" s="1" t="str">
        <f t="shared" ref="Q56:Q59" si="28">"0602175409"</f>
        <v>0602175409</v>
      </c>
      <c r="R56" s="1" t="str">
        <f t="shared" si="1"/>
        <v>人民币</v>
      </c>
      <c r="S56" s="1" t="str">
        <f>"T4000197"</f>
        <v>T4000197</v>
      </c>
    </row>
    <row r="57" spans="1:19">
      <c r="A57" s="1" t="str">
        <f>"20171106"</f>
        <v>20171106</v>
      </c>
      <c r="D57" s="1" t="str">
        <f t="shared" si="25"/>
        <v>偿还融资负债本金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-18007.68</v>
      </c>
      <c r="O57" s="1">
        <v>36021.22</v>
      </c>
      <c r="P57" s="1">
        <v>0</v>
      </c>
      <c r="R57" s="1" t="str">
        <f t="shared" si="1"/>
        <v>人民币</v>
      </c>
      <c r="S57" s="1" t="str">
        <f>"T4000197"</f>
        <v>T4000197</v>
      </c>
    </row>
    <row r="58" spans="1:19">
      <c r="A58" s="1" t="str">
        <f t="shared" ref="A58:A61" si="29">"20171107"</f>
        <v>20171107</v>
      </c>
      <c r="B58" s="1" t="str">
        <f t="shared" si="26"/>
        <v>000768</v>
      </c>
      <c r="C58" s="1" t="str">
        <f t="shared" si="27"/>
        <v>中航飞机</v>
      </c>
      <c r="D58" s="1" t="str">
        <f>"担保品买入"</f>
        <v>担保品买入</v>
      </c>
      <c r="E58" s="1">
        <v>18.21</v>
      </c>
      <c r="F58" s="1">
        <v>1000</v>
      </c>
      <c r="G58" s="1">
        <v>18210</v>
      </c>
      <c r="H58" s="1">
        <v>5.65</v>
      </c>
      <c r="I58" s="1">
        <v>4.04</v>
      </c>
      <c r="J58" s="1">
        <v>0</v>
      </c>
      <c r="K58" s="1">
        <v>0</v>
      </c>
      <c r="L58" s="1">
        <v>0</v>
      </c>
      <c r="M58" s="1">
        <v>0</v>
      </c>
      <c r="N58" s="1">
        <v>-18215.65</v>
      </c>
      <c r="O58" s="1">
        <v>17805.57</v>
      </c>
      <c r="P58" s="1">
        <v>2000</v>
      </c>
      <c r="Q58" s="1" t="str">
        <f t="shared" si="28"/>
        <v>0602175409</v>
      </c>
      <c r="R58" s="1" t="str">
        <f t="shared" si="1"/>
        <v>人民币</v>
      </c>
      <c r="S58" s="1" t="str">
        <f>"T4000573"</f>
        <v>T4000573</v>
      </c>
    </row>
    <row r="59" spans="1:19">
      <c r="A59" s="1" t="str">
        <f t="shared" si="29"/>
        <v>20171107</v>
      </c>
      <c r="B59" s="1" t="str">
        <f t="shared" si="26"/>
        <v>000768</v>
      </c>
      <c r="C59" s="1" t="str">
        <f t="shared" si="27"/>
        <v>中航飞机</v>
      </c>
      <c r="D59" s="1" t="str">
        <f>"担保品卖出"</f>
        <v>担保品卖出</v>
      </c>
      <c r="E59" s="1">
        <v>18.35</v>
      </c>
      <c r="F59" s="1">
        <v>1000</v>
      </c>
      <c r="G59" s="1">
        <v>18350</v>
      </c>
      <c r="H59" s="1">
        <v>5.69</v>
      </c>
      <c r="I59" s="1">
        <v>4.06</v>
      </c>
      <c r="J59" s="1">
        <v>18.35</v>
      </c>
      <c r="K59" s="1">
        <v>0</v>
      </c>
      <c r="L59" s="1">
        <v>0</v>
      </c>
      <c r="M59" s="1">
        <v>0</v>
      </c>
      <c r="N59" s="1">
        <v>18325.96</v>
      </c>
      <c r="O59" s="1">
        <v>36131.53</v>
      </c>
      <c r="P59" s="1">
        <v>1000</v>
      </c>
      <c r="Q59" s="1" t="str">
        <f t="shared" si="28"/>
        <v>0602175409</v>
      </c>
      <c r="R59" s="1" t="str">
        <f t="shared" si="1"/>
        <v>人民币</v>
      </c>
      <c r="S59" s="1" t="str">
        <f>"T4000677"</f>
        <v>T4000677</v>
      </c>
    </row>
    <row r="60" spans="1:19">
      <c r="A60" s="1" t="str">
        <f t="shared" si="29"/>
        <v>20171107</v>
      </c>
      <c r="D60" s="1" t="str">
        <f>"偿还融资负债本金"</f>
        <v>偿还融资负债本金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-1201.92</v>
      </c>
      <c r="O60" s="1">
        <v>34929.61</v>
      </c>
      <c r="P60" s="1">
        <v>0</v>
      </c>
      <c r="R60" s="1" t="str">
        <f t="shared" si="1"/>
        <v>人民币</v>
      </c>
      <c r="S60" s="1" t="str">
        <f>"T4000677"</f>
        <v>T4000677</v>
      </c>
    </row>
    <row r="61" spans="1:18">
      <c r="A61" s="1" t="str">
        <f t="shared" si="29"/>
        <v>20171107</v>
      </c>
      <c r="D61" s="1" t="str">
        <f t="shared" ref="D61:D68" si="30">"偿还融资利息"</f>
        <v>偿还融资利息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-44.86</v>
      </c>
      <c r="O61" s="1">
        <v>34884.75</v>
      </c>
      <c r="P61" s="1">
        <v>0</v>
      </c>
      <c r="R61" s="1" t="str">
        <f t="shared" si="1"/>
        <v>人民币</v>
      </c>
    </row>
    <row r="62" spans="1:18">
      <c r="A62" s="1" t="str">
        <f>"20171113"</f>
        <v>20171113</v>
      </c>
      <c r="D62" s="1" t="str">
        <f>"证券转银行"</f>
        <v>证券转银行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-30000</v>
      </c>
      <c r="O62" s="1">
        <v>4884.75</v>
      </c>
      <c r="P62" s="1">
        <v>0</v>
      </c>
      <c r="R62" s="1" t="str">
        <f t="shared" si="1"/>
        <v>人民币</v>
      </c>
    </row>
    <row r="63" spans="1:18">
      <c r="A63" s="1" t="str">
        <f t="shared" ref="A63:A68" si="31">"20171120"</f>
        <v>20171120</v>
      </c>
      <c r="D63" s="1" t="str">
        <f t="shared" si="30"/>
        <v>偿还融资利息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-161.46</v>
      </c>
      <c r="O63" s="1">
        <v>4723.29</v>
      </c>
      <c r="P63" s="1">
        <v>0</v>
      </c>
      <c r="R63" s="1" t="str">
        <f t="shared" si="1"/>
        <v>人民币</v>
      </c>
    </row>
    <row r="64" spans="1:18">
      <c r="A64" s="1" t="str">
        <f t="shared" si="31"/>
        <v>20171120</v>
      </c>
      <c r="D64" s="1" t="str">
        <f t="shared" si="30"/>
        <v>偿还融资利息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-46.85</v>
      </c>
      <c r="O64" s="1">
        <v>4676.44</v>
      </c>
      <c r="P64" s="1">
        <v>0</v>
      </c>
      <c r="R64" s="1" t="str">
        <f t="shared" si="1"/>
        <v>人民币</v>
      </c>
    </row>
    <row r="65" spans="1:18">
      <c r="A65" s="1" t="str">
        <f t="shared" si="31"/>
        <v>20171120</v>
      </c>
      <c r="D65" s="1" t="str">
        <f t="shared" si="30"/>
        <v>偿还融资利息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-122.76</v>
      </c>
      <c r="O65" s="1">
        <v>4553.68</v>
      </c>
      <c r="P65" s="1">
        <v>0</v>
      </c>
      <c r="R65" s="1" t="str">
        <f t="shared" si="1"/>
        <v>人民币</v>
      </c>
    </row>
    <row r="66" spans="1:18">
      <c r="A66" s="1" t="str">
        <f t="shared" si="31"/>
        <v>20171120</v>
      </c>
      <c r="D66" s="1" t="str">
        <f t="shared" si="30"/>
        <v>偿还融资利息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-97</v>
      </c>
      <c r="O66" s="1">
        <v>4456.68</v>
      </c>
      <c r="P66" s="1">
        <v>0</v>
      </c>
      <c r="R66" s="1" t="str">
        <f t="shared" ref="R66:R80" si="32">"人民币"</f>
        <v>人民币</v>
      </c>
    </row>
    <row r="67" spans="1:18">
      <c r="A67" s="1" t="str">
        <f t="shared" si="31"/>
        <v>20171120</v>
      </c>
      <c r="D67" s="1" t="str">
        <f t="shared" si="30"/>
        <v>偿还融资利息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-25.51</v>
      </c>
      <c r="O67" s="1">
        <v>4431.17</v>
      </c>
      <c r="P67" s="1">
        <v>0</v>
      </c>
      <c r="R67" s="1" t="str">
        <f t="shared" si="32"/>
        <v>人民币</v>
      </c>
    </row>
    <row r="68" spans="1:18">
      <c r="A68" s="1" t="str">
        <f t="shared" si="31"/>
        <v>20171120</v>
      </c>
      <c r="D68" s="1" t="str">
        <f t="shared" si="30"/>
        <v>偿还融资利息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-106.29</v>
      </c>
      <c r="O68" s="1">
        <v>4324.88</v>
      </c>
      <c r="P68" s="1">
        <v>0</v>
      </c>
      <c r="R68" s="1" t="str">
        <f t="shared" si="32"/>
        <v>人民币</v>
      </c>
    </row>
    <row r="69" spans="1:19">
      <c r="A69" s="1" t="str">
        <f>"20171121"</f>
        <v>20171121</v>
      </c>
      <c r="B69" s="1" t="str">
        <f>"000543"</f>
        <v>000543</v>
      </c>
      <c r="C69" s="1" t="str">
        <f>"皖能电力"</f>
        <v>皖能电力</v>
      </c>
      <c r="D69" s="1" t="str">
        <f>"融资买入"</f>
        <v>融资买入</v>
      </c>
      <c r="E69" s="1">
        <v>5.21</v>
      </c>
      <c r="F69" s="1">
        <v>3000</v>
      </c>
      <c r="G69" s="1">
        <v>15630</v>
      </c>
      <c r="H69" s="1">
        <v>7.82</v>
      </c>
      <c r="I69" s="1">
        <v>6.44</v>
      </c>
      <c r="J69" s="1">
        <v>0</v>
      </c>
      <c r="K69" s="1">
        <v>0</v>
      </c>
      <c r="L69" s="1">
        <v>0</v>
      </c>
      <c r="M69" s="1">
        <v>0</v>
      </c>
      <c r="N69" s="1">
        <v>-15637.82</v>
      </c>
      <c r="O69" s="1">
        <v>-11312.94</v>
      </c>
      <c r="P69" s="1">
        <v>9000</v>
      </c>
      <c r="Q69" s="1" t="str">
        <f>"0602175409"</f>
        <v>0602175409</v>
      </c>
      <c r="R69" s="1" t="str">
        <f t="shared" si="32"/>
        <v>人民币</v>
      </c>
      <c r="S69" s="1" t="str">
        <f>"T4000408"</f>
        <v>T4000408</v>
      </c>
    </row>
    <row r="70" spans="1:19">
      <c r="A70" s="1" t="str">
        <f>"20171121"</f>
        <v>20171121</v>
      </c>
      <c r="D70" s="1" t="str">
        <f>"融资借入"</f>
        <v>融资借入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15637.82</v>
      </c>
      <c r="O70" s="1">
        <v>4324.88</v>
      </c>
      <c r="P70" s="1">
        <v>0</v>
      </c>
      <c r="R70" s="1" t="str">
        <f t="shared" si="32"/>
        <v>人民币</v>
      </c>
      <c r="S70" s="1" t="str">
        <f>"T4000408"</f>
        <v>T4000408</v>
      </c>
    </row>
    <row r="71" spans="1:18">
      <c r="A71" s="1" t="str">
        <f t="shared" ref="A71:A78" si="33">"20171220"</f>
        <v>20171220</v>
      </c>
      <c r="D71" s="1" t="str">
        <f>"利息归本"</f>
        <v>利息归本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12.07</v>
      </c>
      <c r="O71" s="1">
        <v>4336.95</v>
      </c>
      <c r="P71" s="1">
        <v>0</v>
      </c>
      <c r="R71" s="1" t="str">
        <f t="shared" si="32"/>
        <v>人民币</v>
      </c>
    </row>
    <row r="72" spans="1:18">
      <c r="A72" s="1" t="str">
        <f t="shared" si="33"/>
        <v>20171220</v>
      </c>
      <c r="D72" s="1" t="str">
        <f t="shared" ref="D72:D78" si="34">"偿还融资利息"</f>
        <v>偿还融资利息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-156.26</v>
      </c>
      <c r="O72" s="1">
        <v>4180.69</v>
      </c>
      <c r="P72" s="1">
        <v>0</v>
      </c>
      <c r="R72" s="1" t="str">
        <f t="shared" si="32"/>
        <v>人民币</v>
      </c>
    </row>
    <row r="73" spans="1:18">
      <c r="A73" s="1" t="str">
        <f t="shared" si="33"/>
        <v>20171220</v>
      </c>
      <c r="D73" s="1" t="str">
        <f t="shared" si="34"/>
        <v>偿还融资利息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-15.6</v>
      </c>
      <c r="O73" s="1">
        <v>4165.09</v>
      </c>
      <c r="P73" s="1">
        <v>0</v>
      </c>
      <c r="R73" s="1" t="str">
        <f t="shared" si="32"/>
        <v>人民币</v>
      </c>
    </row>
    <row r="74" spans="1:18">
      <c r="A74" s="1" t="str">
        <f t="shared" si="33"/>
        <v>20171220</v>
      </c>
      <c r="D74" s="1" t="str">
        <f t="shared" si="34"/>
        <v>偿还融资利息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-118.8</v>
      </c>
      <c r="O74" s="1">
        <v>4046.29</v>
      </c>
      <c r="P74" s="1">
        <v>0</v>
      </c>
      <c r="R74" s="1" t="str">
        <f t="shared" si="32"/>
        <v>人民币</v>
      </c>
    </row>
    <row r="75" spans="1:18">
      <c r="A75" s="1" t="str">
        <f t="shared" si="33"/>
        <v>20171220</v>
      </c>
      <c r="D75" s="1" t="str">
        <f t="shared" si="34"/>
        <v>偿还融资利息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-116.4</v>
      </c>
      <c r="O75" s="1">
        <v>3929.89</v>
      </c>
      <c r="P75" s="1">
        <v>0</v>
      </c>
      <c r="R75" s="1" t="str">
        <f t="shared" si="32"/>
        <v>人民币</v>
      </c>
    </row>
    <row r="76" spans="1:18">
      <c r="A76" s="1" t="str">
        <f t="shared" si="33"/>
        <v>20171220</v>
      </c>
      <c r="D76" s="1" t="str">
        <f t="shared" si="34"/>
        <v>偿还融资利息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-9.04</v>
      </c>
      <c r="O76" s="1">
        <v>3920.85</v>
      </c>
      <c r="P76" s="1">
        <v>0</v>
      </c>
      <c r="R76" s="1" t="str">
        <f t="shared" si="32"/>
        <v>人民币</v>
      </c>
    </row>
    <row r="77" spans="1:18">
      <c r="A77" s="1" t="str">
        <f t="shared" si="33"/>
        <v>20171220</v>
      </c>
      <c r="D77" s="1" t="str">
        <f t="shared" si="34"/>
        <v>偿还融资利息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-144.94</v>
      </c>
      <c r="O77" s="1">
        <v>3775.91</v>
      </c>
      <c r="P77" s="1">
        <v>0</v>
      </c>
      <c r="R77" s="1" t="str">
        <f t="shared" si="32"/>
        <v>人民币</v>
      </c>
    </row>
    <row r="78" spans="1:18">
      <c r="A78" s="1" t="str">
        <f t="shared" si="33"/>
        <v>20171220</v>
      </c>
      <c r="D78" s="1" t="str">
        <f t="shared" si="34"/>
        <v>偿还融资利息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-108.86</v>
      </c>
      <c r="O78" s="1">
        <v>3667.05</v>
      </c>
      <c r="P78" s="1">
        <v>0</v>
      </c>
      <c r="R78" s="1" t="str">
        <f t="shared" si="32"/>
        <v>人民币</v>
      </c>
    </row>
    <row r="79" spans="1:19">
      <c r="A79" s="1" t="str">
        <f>"20171226"</f>
        <v>20171226</v>
      </c>
      <c r="B79" s="1" t="str">
        <f>"000543"</f>
        <v>000543</v>
      </c>
      <c r="C79" s="1" t="str">
        <f>"皖能电力"</f>
        <v>皖能电力</v>
      </c>
      <c r="D79" s="1" t="str">
        <f>"融资买入"</f>
        <v>融资买入</v>
      </c>
      <c r="E79" s="1">
        <v>5.01</v>
      </c>
      <c r="F79" s="1">
        <v>3000</v>
      </c>
      <c r="G79" s="1">
        <v>15030</v>
      </c>
      <c r="H79" s="1">
        <v>7.52</v>
      </c>
      <c r="I79" s="1">
        <v>6.19</v>
      </c>
      <c r="J79" s="1">
        <v>0</v>
      </c>
      <c r="K79" s="1">
        <v>0</v>
      </c>
      <c r="L79" s="1">
        <v>0</v>
      </c>
      <c r="M79" s="1">
        <v>0</v>
      </c>
      <c r="N79" s="1">
        <v>-15037.52</v>
      </c>
      <c r="O79" s="1">
        <v>-11370.47</v>
      </c>
      <c r="P79" s="1">
        <v>12000</v>
      </c>
      <c r="Q79" s="1" t="str">
        <f>"0602175409"</f>
        <v>0602175409</v>
      </c>
      <c r="R79" s="1" t="str">
        <f t="shared" si="32"/>
        <v>人民币</v>
      </c>
      <c r="S79" s="1" t="str">
        <f>"T4000997"</f>
        <v>T4000997</v>
      </c>
    </row>
    <row r="80" spans="1:19">
      <c r="A80" s="1" t="str">
        <f>"20171226"</f>
        <v>20171226</v>
      </c>
      <c r="D80" s="1" t="str">
        <f>"融资借入"</f>
        <v>融资借入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15037.52</v>
      </c>
      <c r="O80" s="1">
        <v>3667.05</v>
      </c>
      <c r="P80" s="1">
        <v>0</v>
      </c>
      <c r="R80" s="1" t="str">
        <f t="shared" si="32"/>
        <v>人民币</v>
      </c>
      <c r="S80" s="1" t="str">
        <f>"T4000997"</f>
        <v>T4000997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3"/>
  <sheetViews>
    <sheetView topLeftCell="A40" workbookViewId="0">
      <selection activeCell="A2" sqref="A2:P63"/>
    </sheetView>
  </sheetViews>
  <sheetFormatPr defaultColWidth="9" defaultRowHeight="13.5"/>
  <cols>
    <col min="1" max="16384" width="9" style="1"/>
  </cols>
  <sheetData>
    <row r="1" spans="1:19">
      <c r="A1" s="1" t="str">
        <f>"交割日期"</f>
        <v>交割日期</v>
      </c>
      <c r="B1" s="1" t="str">
        <f>"证券代码"</f>
        <v>证券代码</v>
      </c>
      <c r="C1" s="1" t="str">
        <f>"证券名称"</f>
        <v>证券名称</v>
      </c>
      <c r="D1" s="1" t="str">
        <f>"业务名称"</f>
        <v>业务名称</v>
      </c>
      <c r="E1" s="1" t="str">
        <f>"成交价格"</f>
        <v>成交价格</v>
      </c>
      <c r="F1" s="1" t="str">
        <f>"成交数量"</f>
        <v>成交数量</v>
      </c>
      <c r="G1" s="1" t="str">
        <f>"成交金额"</f>
        <v>成交金额</v>
      </c>
      <c r="H1" s="1" t="str">
        <f>"手续费"</f>
        <v>手续费</v>
      </c>
      <c r="I1" s="1" t="str">
        <f>"净佣金"</f>
        <v>净佣金</v>
      </c>
      <c r="J1" s="1" t="str">
        <f>"印花税"</f>
        <v>印花税</v>
      </c>
      <c r="K1" s="1" t="str">
        <f>"过户费"</f>
        <v>过户费</v>
      </c>
      <c r="L1" s="1" t="str">
        <f>"结算费"</f>
        <v>结算费</v>
      </c>
      <c r="M1" s="1" t="str">
        <f>"其他费"</f>
        <v>其他费</v>
      </c>
      <c r="N1" s="1" t="str">
        <f>"发生金额"</f>
        <v>发生金额</v>
      </c>
      <c r="O1" s="1" t="str">
        <f>"剩余金额"</f>
        <v>剩余金额</v>
      </c>
      <c r="P1" s="1" t="str">
        <f>"证券数量"</f>
        <v>证券数量</v>
      </c>
      <c r="Q1" s="1" t="str">
        <f>"股东代码"</f>
        <v>股东代码</v>
      </c>
      <c r="R1" s="1" t="str">
        <f>"币种"</f>
        <v>币种</v>
      </c>
      <c r="S1" s="1" t="str">
        <f>"成交编号"</f>
        <v>成交编号</v>
      </c>
    </row>
    <row r="2" spans="1:19">
      <c r="A2" s="1" t="str">
        <f t="shared" ref="A2:A6" si="0">"20180110"</f>
        <v>20180110</v>
      </c>
      <c r="B2" s="1" t="str">
        <f>"002183"</f>
        <v>002183</v>
      </c>
      <c r="C2" s="1" t="str">
        <f>"怡 亚 通"</f>
        <v>怡 亚 通</v>
      </c>
      <c r="D2" s="1" t="str">
        <f>"融资买入"</f>
        <v>融资买入</v>
      </c>
      <c r="E2" s="1">
        <v>7.51</v>
      </c>
      <c r="F2" s="1">
        <v>2500</v>
      </c>
      <c r="G2" s="1">
        <v>18775</v>
      </c>
      <c r="H2" s="1">
        <v>9.39</v>
      </c>
      <c r="I2" s="1">
        <v>7.72</v>
      </c>
      <c r="J2" s="1">
        <v>0</v>
      </c>
      <c r="K2" s="1">
        <v>0</v>
      </c>
      <c r="L2" s="1">
        <v>0</v>
      </c>
      <c r="M2" s="1">
        <v>0</v>
      </c>
      <c r="N2" s="1">
        <v>-18784.39</v>
      </c>
      <c r="O2" s="1">
        <v>-15117.34</v>
      </c>
      <c r="P2" s="1">
        <v>5000</v>
      </c>
      <c r="Q2" s="1" t="str">
        <f t="shared" ref="Q2:Q8" si="1">"0602175409"</f>
        <v>0602175409</v>
      </c>
      <c r="R2" s="1" t="str">
        <f t="shared" ref="R2:R63" si="2">"人民币"</f>
        <v>人民币</v>
      </c>
      <c r="S2" s="1" t="str">
        <f>"T4000062"</f>
        <v>T4000062</v>
      </c>
    </row>
    <row r="3" spans="1:19">
      <c r="A3" s="1" t="str">
        <f t="shared" si="0"/>
        <v>20180110</v>
      </c>
      <c r="B3" s="1" t="str">
        <f>"000543"</f>
        <v>000543</v>
      </c>
      <c r="C3" s="1" t="str">
        <f>"皖能电力"</f>
        <v>皖能电力</v>
      </c>
      <c r="D3" s="1" t="str">
        <f>"卖券还款"</f>
        <v>卖券还款</v>
      </c>
      <c r="E3" s="1">
        <v>5.14</v>
      </c>
      <c r="F3" s="1">
        <v>3000</v>
      </c>
      <c r="G3" s="1">
        <v>15420</v>
      </c>
      <c r="H3" s="1">
        <v>7.71</v>
      </c>
      <c r="I3" s="1">
        <v>6.33</v>
      </c>
      <c r="J3" s="1">
        <v>15.42</v>
      </c>
      <c r="K3" s="1">
        <v>0</v>
      </c>
      <c r="L3" s="1">
        <v>0</v>
      </c>
      <c r="M3" s="1">
        <v>0</v>
      </c>
      <c r="N3" s="1">
        <v>15396.87</v>
      </c>
      <c r="O3" s="1">
        <v>279.53</v>
      </c>
      <c r="P3" s="1">
        <v>9000</v>
      </c>
      <c r="Q3" s="1" t="str">
        <f t="shared" si="1"/>
        <v>0602175409</v>
      </c>
      <c r="R3" s="1" t="str">
        <f t="shared" si="2"/>
        <v>人民币</v>
      </c>
      <c r="S3" s="1" t="str">
        <f t="shared" ref="S3:S6" si="3">"T4000097"</f>
        <v>T4000097</v>
      </c>
    </row>
    <row r="4" spans="1:19">
      <c r="A4" s="1" t="str">
        <f t="shared" si="0"/>
        <v>20180110</v>
      </c>
      <c r="D4" s="1" t="str">
        <f>"融资借入"</f>
        <v>融资借入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18784.39</v>
      </c>
      <c r="O4" s="1">
        <v>19063.92</v>
      </c>
      <c r="P4" s="1">
        <v>0</v>
      </c>
      <c r="R4" s="1" t="str">
        <f t="shared" si="2"/>
        <v>人民币</v>
      </c>
      <c r="S4" s="1" t="str">
        <f>"T4000062"</f>
        <v>T4000062</v>
      </c>
    </row>
    <row r="5" spans="1:19">
      <c r="A5" s="1" t="str">
        <f t="shared" si="0"/>
        <v>20180110</v>
      </c>
      <c r="D5" s="1" t="str">
        <f>"偿还融资利息"</f>
        <v>偿还融资利息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-104.17</v>
      </c>
      <c r="O5" s="1">
        <v>18959.75</v>
      </c>
      <c r="P5" s="1">
        <v>0</v>
      </c>
      <c r="R5" s="1" t="str">
        <f t="shared" si="2"/>
        <v>人民币</v>
      </c>
      <c r="S5" s="1" t="str">
        <f t="shared" si="3"/>
        <v>T4000097</v>
      </c>
    </row>
    <row r="6" spans="1:19">
      <c r="A6" s="1" t="str">
        <f t="shared" si="0"/>
        <v>20180110</v>
      </c>
      <c r="D6" s="1" t="str">
        <f>"偿还融资负债本金"</f>
        <v>偿还融资负债本金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-15254.15</v>
      </c>
      <c r="O6" s="1">
        <v>3705.6</v>
      </c>
      <c r="P6" s="1">
        <v>0</v>
      </c>
      <c r="R6" s="1" t="str">
        <f t="shared" si="2"/>
        <v>人民币</v>
      </c>
      <c r="S6" s="1" t="str">
        <f t="shared" si="3"/>
        <v>T4000097</v>
      </c>
    </row>
    <row r="7" spans="1:19">
      <c r="A7" s="1" t="str">
        <f t="shared" ref="A7:A15" si="4">"20180112"</f>
        <v>20180112</v>
      </c>
      <c r="B7" s="1" t="str">
        <f>"002183"</f>
        <v>002183</v>
      </c>
      <c r="C7" s="1" t="str">
        <f>"怡 亚 通"</f>
        <v>怡 亚 通</v>
      </c>
      <c r="D7" s="1" t="str">
        <f>"卖券还款"</f>
        <v>卖券还款</v>
      </c>
      <c r="E7" s="1">
        <v>7.73</v>
      </c>
      <c r="F7" s="1">
        <v>2500</v>
      </c>
      <c r="G7" s="1">
        <v>19325</v>
      </c>
      <c r="H7" s="1">
        <v>9.66</v>
      </c>
      <c r="I7" s="1">
        <v>7.94</v>
      </c>
      <c r="J7" s="1">
        <v>19.33</v>
      </c>
      <c r="K7" s="1">
        <v>0</v>
      </c>
      <c r="L7" s="1">
        <v>0</v>
      </c>
      <c r="M7" s="1">
        <v>0</v>
      </c>
      <c r="N7" s="1">
        <v>19296.01</v>
      </c>
      <c r="O7" s="1">
        <v>23001.61</v>
      </c>
      <c r="P7" s="1">
        <v>2500</v>
      </c>
      <c r="Q7" s="1" t="str">
        <f t="shared" si="1"/>
        <v>0602175409</v>
      </c>
      <c r="R7" s="1" t="str">
        <f t="shared" si="2"/>
        <v>人民币</v>
      </c>
      <c r="S7" s="1" t="str">
        <f t="shared" ref="S7:S15" si="5">"T4000042"</f>
        <v>T4000042</v>
      </c>
    </row>
    <row r="8" spans="1:19">
      <c r="A8" s="1" t="str">
        <f t="shared" si="4"/>
        <v>20180112</v>
      </c>
      <c r="B8" s="1" t="str">
        <f>"000543"</f>
        <v>000543</v>
      </c>
      <c r="C8" s="1" t="str">
        <f>"皖能电力"</f>
        <v>皖能电力</v>
      </c>
      <c r="D8" s="1" t="str">
        <f>"融资买入"</f>
        <v>融资买入</v>
      </c>
      <c r="E8" s="1">
        <v>5.1</v>
      </c>
      <c r="F8" s="1">
        <v>3000</v>
      </c>
      <c r="G8" s="1">
        <v>15300</v>
      </c>
      <c r="H8" s="1">
        <v>7.65</v>
      </c>
      <c r="I8" s="1">
        <v>6.28</v>
      </c>
      <c r="J8" s="1">
        <v>0</v>
      </c>
      <c r="K8" s="1">
        <v>0</v>
      </c>
      <c r="L8" s="1">
        <v>0</v>
      </c>
      <c r="M8" s="1">
        <v>0</v>
      </c>
      <c r="N8" s="1">
        <v>-15307.65</v>
      </c>
      <c r="O8" s="1">
        <v>7693.96</v>
      </c>
      <c r="P8" s="1">
        <v>12000</v>
      </c>
      <c r="Q8" s="1" t="str">
        <f t="shared" si="1"/>
        <v>0602175409</v>
      </c>
      <c r="R8" s="1" t="str">
        <f t="shared" si="2"/>
        <v>人民币</v>
      </c>
      <c r="S8" s="1" t="str">
        <f>"T4000109"</f>
        <v>T4000109</v>
      </c>
    </row>
    <row r="9" spans="1:19">
      <c r="A9" s="1" t="str">
        <f t="shared" si="4"/>
        <v>20180112</v>
      </c>
      <c r="D9" s="1" t="str">
        <f>"融资借入"</f>
        <v>融资借入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15307.65</v>
      </c>
      <c r="O9" s="1">
        <v>23001.61</v>
      </c>
      <c r="P9" s="1">
        <v>0</v>
      </c>
      <c r="R9" s="1" t="str">
        <f t="shared" si="2"/>
        <v>人民币</v>
      </c>
      <c r="S9" s="1" t="str">
        <f>"T4000109"</f>
        <v>T4000109</v>
      </c>
    </row>
    <row r="10" spans="1:19">
      <c r="A10" s="1" t="str">
        <f t="shared" si="4"/>
        <v>20180112</v>
      </c>
      <c r="D10" s="1" t="str">
        <f t="shared" ref="D10:D14" si="6">"偿还融资利息"</f>
        <v>偿还融资利息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-3.34</v>
      </c>
      <c r="O10" s="1">
        <v>22998.27</v>
      </c>
      <c r="P10" s="1">
        <v>0</v>
      </c>
      <c r="R10" s="1" t="str">
        <f t="shared" si="2"/>
        <v>人民币</v>
      </c>
      <c r="S10" s="1" t="str">
        <f t="shared" si="5"/>
        <v>T4000042</v>
      </c>
    </row>
    <row r="11" spans="1:19">
      <c r="A11" s="1" t="str">
        <f t="shared" si="4"/>
        <v>20180112</v>
      </c>
      <c r="D11" s="1" t="str">
        <f t="shared" ref="D11:D15" si="7">"偿还融资负债本金"</f>
        <v>偿还融资负债本金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-7190.88</v>
      </c>
      <c r="O11" s="1">
        <v>15807.39</v>
      </c>
      <c r="P11" s="1">
        <v>0</v>
      </c>
      <c r="R11" s="1" t="str">
        <f t="shared" si="2"/>
        <v>人民币</v>
      </c>
      <c r="S11" s="1" t="str">
        <f t="shared" si="5"/>
        <v>T4000042</v>
      </c>
    </row>
    <row r="12" spans="1:19">
      <c r="A12" s="1" t="str">
        <f t="shared" si="4"/>
        <v>20180112</v>
      </c>
      <c r="D12" s="1" t="str">
        <f t="shared" si="6"/>
        <v>偿还融资利息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-11.44</v>
      </c>
      <c r="O12" s="1">
        <v>15795.95</v>
      </c>
      <c r="P12" s="1">
        <v>0</v>
      </c>
      <c r="R12" s="1" t="str">
        <f t="shared" si="2"/>
        <v>人民币</v>
      </c>
      <c r="S12" s="1" t="str">
        <f t="shared" si="5"/>
        <v>T4000042</v>
      </c>
    </row>
    <row r="13" spans="1:19">
      <c r="A13" s="1" t="str">
        <f t="shared" si="4"/>
        <v>20180112</v>
      </c>
      <c r="D13" s="1" t="str">
        <f t="shared" si="7"/>
        <v>偿还融资负债本金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-2240.88</v>
      </c>
      <c r="O13" s="1">
        <v>13555.07</v>
      </c>
      <c r="P13" s="1">
        <v>0</v>
      </c>
      <c r="R13" s="1" t="str">
        <f t="shared" si="2"/>
        <v>人民币</v>
      </c>
      <c r="S13" s="1" t="str">
        <f t="shared" si="5"/>
        <v>T4000042</v>
      </c>
    </row>
    <row r="14" spans="1:19">
      <c r="A14" s="1" t="str">
        <f t="shared" si="4"/>
        <v>20180112</v>
      </c>
      <c r="D14" s="1" t="str">
        <f t="shared" si="6"/>
        <v>偿还融资利息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-87.12</v>
      </c>
      <c r="O14" s="1">
        <v>13467.95</v>
      </c>
      <c r="P14" s="1">
        <v>0</v>
      </c>
      <c r="R14" s="1" t="str">
        <f t="shared" si="2"/>
        <v>人民币</v>
      </c>
      <c r="S14" s="1" t="str">
        <f t="shared" si="5"/>
        <v>T4000042</v>
      </c>
    </row>
    <row r="15" spans="1:19">
      <c r="A15" s="1" t="str">
        <f t="shared" si="4"/>
        <v>20180112</v>
      </c>
      <c r="D15" s="1" t="str">
        <f t="shared" si="7"/>
        <v>偿还融资负债本金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-9714.03</v>
      </c>
      <c r="O15" s="1">
        <v>3753.92</v>
      </c>
      <c r="P15" s="1">
        <v>0</v>
      </c>
      <c r="R15" s="1" t="str">
        <f t="shared" si="2"/>
        <v>人民币</v>
      </c>
      <c r="S15" s="1" t="str">
        <f t="shared" si="5"/>
        <v>T4000042</v>
      </c>
    </row>
    <row r="16" spans="1:18">
      <c r="A16" s="1" t="str">
        <f t="shared" ref="A16:A23" si="8">"20180119"</f>
        <v>20180119</v>
      </c>
      <c r="D16" s="1" t="str">
        <f t="shared" ref="D16:D23" si="9">"偿还融资利息"</f>
        <v>偿还融资利息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-13.68</v>
      </c>
      <c r="O16" s="1">
        <v>3740.24</v>
      </c>
      <c r="P16" s="1">
        <v>0</v>
      </c>
      <c r="R16" s="1" t="str">
        <f t="shared" si="2"/>
        <v>人民币</v>
      </c>
    </row>
    <row r="17" spans="1:18">
      <c r="A17" s="1" t="str">
        <f t="shared" si="8"/>
        <v>20180119</v>
      </c>
      <c r="D17" s="1" t="str">
        <f t="shared" si="9"/>
        <v>偿还融资利息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-116.39</v>
      </c>
      <c r="O17" s="1">
        <v>3623.85</v>
      </c>
      <c r="P17" s="1">
        <v>0</v>
      </c>
      <c r="R17" s="1" t="str">
        <f t="shared" si="2"/>
        <v>人民币</v>
      </c>
    </row>
    <row r="18" spans="1:18">
      <c r="A18" s="1" t="str">
        <f t="shared" si="8"/>
        <v>20180119</v>
      </c>
      <c r="D18" s="1" t="str">
        <f t="shared" si="9"/>
        <v>偿还融资利息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-9.04</v>
      </c>
      <c r="O18" s="1">
        <v>3614.81</v>
      </c>
      <c r="P18" s="1">
        <v>0</v>
      </c>
      <c r="R18" s="1" t="str">
        <f t="shared" si="2"/>
        <v>人民币</v>
      </c>
    </row>
    <row r="19" spans="1:18">
      <c r="A19" s="1" t="str">
        <f t="shared" si="8"/>
        <v>20180119</v>
      </c>
      <c r="D19" s="1" t="str">
        <f t="shared" si="9"/>
        <v>偿还融资利息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-144.94</v>
      </c>
      <c r="O19" s="1">
        <v>3469.87</v>
      </c>
      <c r="P19" s="1">
        <v>0</v>
      </c>
      <c r="R19" s="1" t="str">
        <f t="shared" si="2"/>
        <v>人民币</v>
      </c>
    </row>
    <row r="20" spans="1:18">
      <c r="A20" s="1" t="str">
        <f t="shared" si="8"/>
        <v>20180119</v>
      </c>
      <c r="D20" s="1" t="str">
        <f t="shared" si="9"/>
        <v>偿还融资利息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-108.86</v>
      </c>
      <c r="O20" s="1">
        <v>3361.01</v>
      </c>
      <c r="P20" s="1">
        <v>0</v>
      </c>
      <c r="R20" s="1" t="str">
        <f t="shared" si="2"/>
        <v>人民币</v>
      </c>
    </row>
    <row r="21" spans="1:18">
      <c r="A21" s="1" t="str">
        <f t="shared" si="8"/>
        <v>20180119</v>
      </c>
      <c r="D21" s="1" t="str">
        <f t="shared" si="9"/>
        <v>偿还融资利息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-87.24</v>
      </c>
      <c r="O21" s="1">
        <v>3273.77</v>
      </c>
      <c r="P21" s="1">
        <v>0</v>
      </c>
      <c r="R21" s="1" t="str">
        <f t="shared" si="2"/>
        <v>人民币</v>
      </c>
    </row>
    <row r="22" spans="1:18">
      <c r="A22" s="1" t="str">
        <f t="shared" si="8"/>
        <v>20180119</v>
      </c>
      <c r="D22" s="1" t="str">
        <f t="shared" si="9"/>
        <v>偿还融资利息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-43.59</v>
      </c>
      <c r="O22" s="1">
        <v>3230.18</v>
      </c>
      <c r="P22" s="1">
        <v>0</v>
      </c>
      <c r="R22" s="1" t="str">
        <f t="shared" si="2"/>
        <v>人民币</v>
      </c>
    </row>
    <row r="23" spans="1:18">
      <c r="A23" s="1" t="str">
        <f t="shared" si="8"/>
        <v>20180119</v>
      </c>
      <c r="D23" s="1" t="str">
        <f t="shared" si="9"/>
        <v>偿还融资利息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-28.4</v>
      </c>
      <c r="O23" s="1">
        <v>3201.78</v>
      </c>
      <c r="P23" s="1">
        <v>0</v>
      </c>
      <c r="R23" s="1" t="str">
        <f t="shared" si="2"/>
        <v>人民币</v>
      </c>
    </row>
    <row r="24" spans="1:19">
      <c r="A24" s="1" t="str">
        <f t="shared" ref="A24:A28" si="10">"20180129"</f>
        <v>20180129</v>
      </c>
      <c r="B24" s="1" t="str">
        <f>"000543"</f>
        <v>000543</v>
      </c>
      <c r="C24" s="1" t="str">
        <f>"皖能电力"</f>
        <v>皖能电力</v>
      </c>
      <c r="D24" s="1" t="str">
        <f>"卖券还款"</f>
        <v>卖券还款</v>
      </c>
      <c r="E24" s="1">
        <v>5.21</v>
      </c>
      <c r="F24" s="1">
        <v>3000</v>
      </c>
      <c r="G24" s="1">
        <v>15630</v>
      </c>
      <c r="H24" s="1">
        <v>7.82</v>
      </c>
      <c r="I24" s="1">
        <v>6.44</v>
      </c>
      <c r="J24" s="1">
        <v>15.63</v>
      </c>
      <c r="K24" s="1">
        <v>0</v>
      </c>
      <c r="L24" s="1">
        <v>0</v>
      </c>
      <c r="M24" s="1">
        <v>0</v>
      </c>
      <c r="N24" s="1">
        <v>15606.55</v>
      </c>
      <c r="O24" s="1">
        <v>18808.33</v>
      </c>
      <c r="P24" s="1">
        <v>9000</v>
      </c>
      <c r="Q24" s="1" t="str">
        <f>"0602175409"</f>
        <v>0602175409</v>
      </c>
      <c r="R24" s="1" t="str">
        <f t="shared" si="2"/>
        <v>人民币</v>
      </c>
      <c r="S24" s="1" t="str">
        <f t="shared" ref="S24:S28" si="11">"T4000379"</f>
        <v>T4000379</v>
      </c>
    </row>
    <row r="25" spans="1:19">
      <c r="A25" s="1" t="str">
        <f t="shared" si="10"/>
        <v>20180129</v>
      </c>
      <c r="D25" s="1" t="str">
        <f>"偿还融资利息"</f>
        <v>偿还融资利息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-15.39</v>
      </c>
      <c r="O25" s="1">
        <v>18792.94</v>
      </c>
      <c r="P25" s="1">
        <v>0</v>
      </c>
      <c r="R25" s="1" t="str">
        <f t="shared" si="2"/>
        <v>人民币</v>
      </c>
      <c r="S25" s="1" t="str">
        <f t="shared" si="11"/>
        <v>T4000379</v>
      </c>
    </row>
    <row r="26" spans="1:19">
      <c r="A26" s="1" t="str">
        <f t="shared" si="10"/>
        <v>20180129</v>
      </c>
      <c r="D26" s="1" t="str">
        <f>"偿还融资负债本金"</f>
        <v>偿还融资负债本金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-7364.51</v>
      </c>
      <c r="O26" s="1">
        <v>11428.43</v>
      </c>
      <c r="P26" s="1">
        <v>0</v>
      </c>
      <c r="R26" s="1" t="str">
        <f t="shared" si="2"/>
        <v>人民币</v>
      </c>
      <c r="S26" s="1" t="str">
        <f t="shared" si="11"/>
        <v>T4000379</v>
      </c>
    </row>
    <row r="27" spans="1:19">
      <c r="A27" s="1" t="str">
        <f t="shared" si="10"/>
        <v>20180129</v>
      </c>
      <c r="D27" s="1" t="str">
        <f>"偿还融资利息"</f>
        <v>偿还融资利息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-34.92</v>
      </c>
      <c r="O27" s="1">
        <v>11393.51</v>
      </c>
      <c r="P27" s="1">
        <v>0</v>
      </c>
      <c r="R27" s="1" t="str">
        <f t="shared" si="2"/>
        <v>人民币</v>
      </c>
      <c r="S27" s="1" t="str">
        <f t="shared" si="11"/>
        <v>T4000379</v>
      </c>
    </row>
    <row r="28" spans="1:19">
      <c r="A28" s="1" t="str">
        <f t="shared" si="10"/>
        <v>20180129</v>
      </c>
      <c r="D28" s="1" t="str">
        <f>"偿还融资负债本金"</f>
        <v>偿还融资负债本金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-8152.66</v>
      </c>
      <c r="O28" s="1">
        <v>3240.85</v>
      </c>
      <c r="P28" s="1">
        <v>0</v>
      </c>
      <c r="R28" s="1" t="str">
        <f t="shared" si="2"/>
        <v>人民币</v>
      </c>
      <c r="S28" s="1" t="str">
        <f t="shared" si="11"/>
        <v>T4000379</v>
      </c>
    </row>
    <row r="29" spans="1:19">
      <c r="A29" s="1" t="str">
        <f>"20180131"</f>
        <v>20180131</v>
      </c>
      <c r="B29" s="1" t="str">
        <f>"000543"</f>
        <v>000543</v>
      </c>
      <c r="C29" s="1" t="str">
        <f>"皖能电力"</f>
        <v>皖能电力</v>
      </c>
      <c r="D29" s="1" t="str">
        <f>"融资买入"</f>
        <v>融资买入</v>
      </c>
      <c r="E29" s="1">
        <v>5.1</v>
      </c>
      <c r="F29" s="1">
        <v>3000</v>
      </c>
      <c r="G29" s="1">
        <v>15300</v>
      </c>
      <c r="H29" s="1">
        <v>7.65</v>
      </c>
      <c r="I29" s="1">
        <v>6.28</v>
      </c>
      <c r="J29" s="1">
        <v>0</v>
      </c>
      <c r="K29" s="1">
        <v>0</v>
      </c>
      <c r="L29" s="1">
        <v>0</v>
      </c>
      <c r="M29" s="1">
        <v>0</v>
      </c>
      <c r="N29" s="1">
        <v>-15307.65</v>
      </c>
      <c r="O29" s="1">
        <v>-12066.8</v>
      </c>
      <c r="P29" s="1">
        <v>12000</v>
      </c>
      <c r="Q29" s="1" t="str">
        <f t="shared" ref="Q29:Q34" si="12">"0602175409"</f>
        <v>0602175409</v>
      </c>
      <c r="R29" s="1" t="str">
        <f t="shared" si="2"/>
        <v>人民币</v>
      </c>
      <c r="S29" s="1" t="str">
        <f>"T4000326"</f>
        <v>T4000326</v>
      </c>
    </row>
    <row r="30" spans="1:19">
      <c r="A30" s="1" t="str">
        <f>"20180131"</f>
        <v>20180131</v>
      </c>
      <c r="D30" s="1" t="str">
        <f>"融资借入"</f>
        <v>融资借入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15307.65</v>
      </c>
      <c r="O30" s="1">
        <v>3240.85</v>
      </c>
      <c r="P30" s="1">
        <v>0</v>
      </c>
      <c r="R30" s="1" t="str">
        <f t="shared" si="2"/>
        <v>人民币</v>
      </c>
      <c r="S30" s="1" t="str">
        <f>"T4000326"</f>
        <v>T4000326</v>
      </c>
    </row>
    <row r="31" spans="1:19">
      <c r="A31" s="1" t="str">
        <f>"20180206"</f>
        <v>20180206</v>
      </c>
      <c r="B31" s="1" t="str">
        <f>"600886"</f>
        <v>600886</v>
      </c>
      <c r="C31" s="1" t="str">
        <f>"国投电力"</f>
        <v>国投电力</v>
      </c>
      <c r="D31" s="1" t="str">
        <f t="shared" ref="D31:D34" si="13">"担保品卖出"</f>
        <v>担保品卖出</v>
      </c>
      <c r="E31" s="1">
        <v>7.04</v>
      </c>
      <c r="F31" s="1">
        <v>6000</v>
      </c>
      <c r="G31" s="1">
        <v>42240</v>
      </c>
      <c r="H31" s="1">
        <v>13.09</v>
      </c>
      <c r="I31" s="1">
        <v>10.19</v>
      </c>
      <c r="J31" s="1">
        <v>42.24</v>
      </c>
      <c r="K31" s="1">
        <v>0.85</v>
      </c>
      <c r="L31" s="1">
        <v>0</v>
      </c>
      <c r="M31" s="1">
        <v>0</v>
      </c>
      <c r="N31" s="1">
        <v>42183.82</v>
      </c>
      <c r="O31" s="1">
        <v>45424.67</v>
      </c>
      <c r="P31" s="1">
        <v>21800</v>
      </c>
      <c r="Q31" s="1" t="str">
        <f>"E021635187"</f>
        <v>E021635187</v>
      </c>
      <c r="R31" s="1" t="str">
        <f t="shared" si="2"/>
        <v>人民币</v>
      </c>
      <c r="S31" s="1" t="str">
        <f>"0136000207"</f>
        <v>0136000207</v>
      </c>
    </row>
    <row r="32" spans="1:19">
      <c r="A32" s="1" t="str">
        <f>"20180207"</f>
        <v>20180207</v>
      </c>
      <c r="B32" s="1" t="str">
        <f>"600886"</f>
        <v>600886</v>
      </c>
      <c r="C32" s="1" t="str">
        <f>"国投电力"</f>
        <v>国投电力</v>
      </c>
      <c r="D32" s="1" t="str">
        <f t="shared" si="13"/>
        <v>担保品卖出</v>
      </c>
      <c r="E32" s="1">
        <v>6.99</v>
      </c>
      <c r="F32" s="1">
        <v>3000</v>
      </c>
      <c r="G32" s="1">
        <v>20970</v>
      </c>
      <c r="H32" s="1">
        <v>6.5</v>
      </c>
      <c r="I32" s="1">
        <v>5.05</v>
      </c>
      <c r="J32" s="1">
        <v>20.97</v>
      </c>
      <c r="K32" s="1">
        <v>0.42</v>
      </c>
      <c r="L32" s="1">
        <v>0</v>
      </c>
      <c r="M32" s="1">
        <v>0</v>
      </c>
      <c r="N32" s="1">
        <v>20942.11</v>
      </c>
      <c r="O32" s="1">
        <v>66366.78</v>
      </c>
      <c r="P32" s="1">
        <v>18800</v>
      </c>
      <c r="Q32" s="1" t="str">
        <f>"E021635187"</f>
        <v>E021635187</v>
      </c>
      <c r="R32" s="1" t="str">
        <f t="shared" si="2"/>
        <v>人民币</v>
      </c>
      <c r="S32" s="1" t="str">
        <f>"0136000962"</f>
        <v>0136000962</v>
      </c>
    </row>
    <row r="33" spans="1:19">
      <c r="A33" s="1" t="str">
        <f>"20180208"</f>
        <v>20180208</v>
      </c>
      <c r="B33" s="1" t="str">
        <f>"000543"</f>
        <v>000543</v>
      </c>
      <c r="C33" s="1" t="str">
        <f>"皖能电力"</f>
        <v>皖能电力</v>
      </c>
      <c r="D33" s="1" t="str">
        <f>"担保品买入"</f>
        <v>担保品买入</v>
      </c>
      <c r="E33" s="1">
        <v>4.71</v>
      </c>
      <c r="F33" s="1">
        <v>3000</v>
      </c>
      <c r="G33" s="1">
        <v>14130</v>
      </c>
      <c r="H33" s="1">
        <v>5</v>
      </c>
      <c r="I33" s="1">
        <v>3.75</v>
      </c>
      <c r="J33" s="1">
        <v>0</v>
      </c>
      <c r="K33" s="1">
        <v>0</v>
      </c>
      <c r="L33" s="1">
        <v>0</v>
      </c>
      <c r="M33" s="1">
        <v>0</v>
      </c>
      <c r="N33" s="1">
        <v>-14135</v>
      </c>
      <c r="O33" s="1">
        <v>52231.78</v>
      </c>
      <c r="P33" s="1">
        <v>15000</v>
      </c>
      <c r="Q33" s="1" t="str">
        <f t="shared" si="12"/>
        <v>0602175409</v>
      </c>
      <c r="R33" s="1" t="str">
        <f t="shared" si="2"/>
        <v>人民币</v>
      </c>
      <c r="S33" s="1" t="str">
        <f>"T4000108"</f>
        <v>T4000108</v>
      </c>
    </row>
    <row r="34" spans="1:19">
      <c r="A34" s="1" t="str">
        <f>"20180209"</f>
        <v>20180209</v>
      </c>
      <c r="B34" s="1" t="str">
        <f>"000768"</f>
        <v>000768</v>
      </c>
      <c r="C34" s="1" t="str">
        <f>"中航飞机"</f>
        <v>中航飞机</v>
      </c>
      <c r="D34" s="1" t="str">
        <f t="shared" si="13"/>
        <v>担保品卖出</v>
      </c>
      <c r="E34" s="1">
        <v>12.93</v>
      </c>
      <c r="F34" s="1">
        <v>1000</v>
      </c>
      <c r="G34" s="1">
        <v>12930</v>
      </c>
      <c r="H34" s="1">
        <v>5</v>
      </c>
      <c r="I34" s="1">
        <v>3.85</v>
      </c>
      <c r="J34" s="1">
        <v>12.93</v>
      </c>
      <c r="K34" s="1">
        <v>0</v>
      </c>
      <c r="L34" s="1">
        <v>0</v>
      </c>
      <c r="M34" s="1">
        <v>0</v>
      </c>
      <c r="N34" s="1">
        <v>12912.07</v>
      </c>
      <c r="O34" s="1">
        <v>65143.85</v>
      </c>
      <c r="P34" s="1">
        <v>0</v>
      </c>
      <c r="Q34" s="1" t="str">
        <f t="shared" si="12"/>
        <v>0602175409</v>
      </c>
      <c r="R34" s="1" t="str">
        <f t="shared" si="2"/>
        <v>人民币</v>
      </c>
      <c r="S34" s="1" t="str">
        <f>"T4000410"</f>
        <v>T4000410</v>
      </c>
    </row>
    <row r="35" spans="1:18">
      <c r="A35" s="1" t="str">
        <f t="shared" ref="A35:A46" si="14">"20180214"</f>
        <v>20180214</v>
      </c>
      <c r="D35" s="1" t="str">
        <f t="shared" ref="D35:D39" si="15">"偿还融资负债本金"</f>
        <v>偿还融资负债本金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-8565.7</v>
      </c>
      <c r="O35" s="1">
        <v>56546.33</v>
      </c>
      <c r="P35" s="1">
        <v>0</v>
      </c>
      <c r="R35" s="1" t="str">
        <f t="shared" si="2"/>
        <v>人民币</v>
      </c>
    </row>
    <row r="36" spans="1:18">
      <c r="A36" s="1" t="str">
        <f t="shared" si="14"/>
        <v>20180214</v>
      </c>
      <c r="D36" s="1" t="str">
        <f t="shared" ref="D36:D46" si="16">"偿还融资利息"</f>
        <v>偿还融资利息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-31.82</v>
      </c>
      <c r="O36" s="1">
        <v>65112.03</v>
      </c>
      <c r="P36" s="1">
        <v>0</v>
      </c>
      <c r="R36" s="1" t="str">
        <f t="shared" si="2"/>
        <v>人民币</v>
      </c>
    </row>
    <row r="37" spans="1:18">
      <c r="A37" s="1" t="str">
        <f t="shared" si="14"/>
        <v>20180214</v>
      </c>
      <c r="D37" s="1" t="str">
        <f t="shared" si="15"/>
        <v>偿还融资负债本金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-1314.46</v>
      </c>
      <c r="O37" s="1">
        <v>55224.33</v>
      </c>
      <c r="P37" s="1">
        <v>0</v>
      </c>
      <c r="R37" s="1" t="str">
        <f t="shared" si="2"/>
        <v>人民币</v>
      </c>
    </row>
    <row r="38" spans="1:18">
      <c r="A38" s="1" t="str">
        <f t="shared" si="14"/>
        <v>20180214</v>
      </c>
      <c r="D38" s="1" t="str">
        <f t="shared" si="16"/>
        <v>偿还融资利息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-7.54</v>
      </c>
      <c r="O38" s="1">
        <v>56538.79</v>
      </c>
      <c r="P38" s="1">
        <v>0</v>
      </c>
      <c r="R38" s="1" t="str">
        <f t="shared" si="2"/>
        <v>人民币</v>
      </c>
    </row>
    <row r="39" spans="1:18">
      <c r="A39" s="1" t="str">
        <f t="shared" si="14"/>
        <v>20180214</v>
      </c>
      <c r="D39" s="1" t="str">
        <f t="shared" si="15"/>
        <v>偿还融资负债本金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-19959.69</v>
      </c>
      <c r="O39" s="1">
        <v>35143.85</v>
      </c>
      <c r="P39" s="1">
        <v>0</v>
      </c>
      <c r="R39" s="1" t="str">
        <f t="shared" si="2"/>
        <v>人民币</v>
      </c>
    </row>
    <row r="40" spans="1:18">
      <c r="A40" s="1" t="str">
        <f t="shared" si="14"/>
        <v>20180214</v>
      </c>
      <c r="D40" s="1" t="str">
        <f t="shared" si="16"/>
        <v>偿还融资利息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-120.79</v>
      </c>
      <c r="O40" s="1">
        <v>55103.54</v>
      </c>
      <c r="P40" s="1">
        <v>0</v>
      </c>
      <c r="R40" s="1" t="str">
        <f t="shared" si="2"/>
        <v>人民币</v>
      </c>
    </row>
    <row r="41" spans="1:18">
      <c r="A41" s="1" t="str">
        <f t="shared" si="14"/>
        <v>20180214</v>
      </c>
      <c r="D41" s="1" t="str">
        <f t="shared" si="16"/>
        <v>偿还融资利息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-0.2</v>
      </c>
      <c r="O41" s="1">
        <v>35143.65</v>
      </c>
      <c r="P41" s="1">
        <v>0</v>
      </c>
      <c r="R41" s="1" t="str">
        <f t="shared" si="2"/>
        <v>人民币</v>
      </c>
    </row>
    <row r="42" spans="1:18">
      <c r="A42" s="1" t="str">
        <f t="shared" si="14"/>
        <v>20180214</v>
      </c>
      <c r="D42" s="1" t="str">
        <f t="shared" si="16"/>
        <v>偿还融资利息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-94.34</v>
      </c>
      <c r="O42" s="1">
        <v>35049.31</v>
      </c>
      <c r="P42" s="1">
        <v>0</v>
      </c>
      <c r="R42" s="1" t="str">
        <f t="shared" si="2"/>
        <v>人民币</v>
      </c>
    </row>
    <row r="43" spans="1:18">
      <c r="A43" s="1" t="str">
        <f t="shared" si="14"/>
        <v>20180214</v>
      </c>
      <c r="D43" s="1" t="str">
        <f t="shared" si="16"/>
        <v>偿还融资利息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-90.74</v>
      </c>
      <c r="O43" s="1">
        <v>34958.57</v>
      </c>
      <c r="P43" s="1">
        <v>0</v>
      </c>
      <c r="R43" s="1" t="str">
        <f t="shared" si="2"/>
        <v>人民币</v>
      </c>
    </row>
    <row r="44" spans="1:18">
      <c r="A44" s="1" t="str">
        <f t="shared" si="14"/>
        <v>20180214</v>
      </c>
      <c r="D44" s="1" t="str">
        <f t="shared" si="16"/>
        <v>偿还融资利息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-113.32</v>
      </c>
      <c r="O44" s="1">
        <v>34845.25</v>
      </c>
      <c r="P44" s="1">
        <v>0</v>
      </c>
      <c r="R44" s="1" t="str">
        <f t="shared" si="2"/>
        <v>人民币</v>
      </c>
    </row>
    <row r="45" spans="1:18">
      <c r="A45" s="1" t="str">
        <f t="shared" si="14"/>
        <v>20180214</v>
      </c>
      <c r="D45" s="1" t="str">
        <f t="shared" si="16"/>
        <v>偿还融资利息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-92.3</v>
      </c>
      <c r="O45" s="1">
        <v>34752.95</v>
      </c>
      <c r="P45" s="1">
        <v>0</v>
      </c>
      <c r="R45" s="1" t="str">
        <f t="shared" si="2"/>
        <v>人民币</v>
      </c>
    </row>
    <row r="46" spans="1:18">
      <c r="A46" s="1" t="str">
        <f t="shared" si="14"/>
        <v>20180214</v>
      </c>
      <c r="D46" s="1" t="str">
        <f t="shared" si="16"/>
        <v>偿还融资利息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-53.25</v>
      </c>
      <c r="O46" s="1">
        <v>34699.7</v>
      </c>
      <c r="P46" s="1">
        <v>0</v>
      </c>
      <c r="R46" s="1" t="str">
        <f t="shared" si="2"/>
        <v>人民币</v>
      </c>
    </row>
    <row r="47" spans="1:19">
      <c r="A47" s="1" t="str">
        <f>"20180222"</f>
        <v>20180222</v>
      </c>
      <c r="B47" s="1" t="str">
        <f>"000601"</f>
        <v>000601</v>
      </c>
      <c r="C47" s="1" t="str">
        <f>"韶能股份"</f>
        <v>韶能股份</v>
      </c>
      <c r="D47" s="1" t="str">
        <f t="shared" ref="D47:D50" si="17">"担保品买入"</f>
        <v>担保品买入</v>
      </c>
      <c r="E47" s="1">
        <v>6.52</v>
      </c>
      <c r="F47" s="1">
        <v>3000</v>
      </c>
      <c r="G47" s="1">
        <v>19560</v>
      </c>
      <c r="H47" s="1">
        <v>6.06</v>
      </c>
      <c r="I47" s="1">
        <v>4.33</v>
      </c>
      <c r="J47" s="1">
        <v>0</v>
      </c>
      <c r="K47" s="1">
        <v>0</v>
      </c>
      <c r="L47" s="1">
        <v>0</v>
      </c>
      <c r="M47" s="1">
        <v>0</v>
      </c>
      <c r="N47" s="1">
        <v>-19566.06</v>
      </c>
      <c r="O47" s="1">
        <v>15133.64</v>
      </c>
      <c r="P47" s="1">
        <v>6000</v>
      </c>
      <c r="Q47" s="1" t="str">
        <f t="shared" ref="Q47:Q50" si="18">"0602175409"</f>
        <v>0602175409</v>
      </c>
      <c r="R47" s="1" t="str">
        <f t="shared" si="2"/>
        <v>人民币</v>
      </c>
      <c r="S47" s="1" t="str">
        <f>"T4000379"</f>
        <v>T4000379</v>
      </c>
    </row>
    <row r="48" spans="1:19">
      <c r="A48" s="1" t="str">
        <f>"20180227"</f>
        <v>20180227</v>
      </c>
      <c r="B48" s="1" t="str">
        <f>"000768"</f>
        <v>000768</v>
      </c>
      <c r="C48" s="1" t="str">
        <f>"中航飞机"</f>
        <v>中航飞机</v>
      </c>
      <c r="D48" s="1" t="str">
        <f t="shared" si="17"/>
        <v>担保品买入</v>
      </c>
      <c r="E48" s="1">
        <v>14.11</v>
      </c>
      <c r="F48" s="1">
        <v>1000</v>
      </c>
      <c r="G48" s="1">
        <v>14110</v>
      </c>
      <c r="H48" s="1">
        <v>5</v>
      </c>
      <c r="I48" s="1">
        <v>3.75</v>
      </c>
      <c r="J48" s="1">
        <v>0</v>
      </c>
      <c r="K48" s="1">
        <v>0</v>
      </c>
      <c r="L48" s="1">
        <v>0</v>
      </c>
      <c r="M48" s="1">
        <v>0</v>
      </c>
      <c r="N48" s="1">
        <v>-14115</v>
      </c>
      <c r="O48" s="1">
        <v>1018.64</v>
      </c>
      <c r="P48" s="1">
        <v>1000</v>
      </c>
      <c r="Q48" s="1" t="str">
        <f t="shared" si="18"/>
        <v>0602175409</v>
      </c>
      <c r="R48" s="1" t="str">
        <f t="shared" si="2"/>
        <v>人民币</v>
      </c>
      <c r="S48" s="1" t="str">
        <f>"T4000110"</f>
        <v>T4000110</v>
      </c>
    </row>
    <row r="49" spans="1:19">
      <c r="A49" s="1" t="str">
        <f t="shared" ref="A49:A52" si="19">"20180228"</f>
        <v>20180228</v>
      </c>
      <c r="B49" s="1" t="str">
        <f>"000768"</f>
        <v>000768</v>
      </c>
      <c r="C49" s="1" t="str">
        <f>"中航飞机"</f>
        <v>中航飞机</v>
      </c>
      <c r="D49" s="1" t="str">
        <f t="shared" ref="D49:D54" si="20">"担保品卖出"</f>
        <v>担保品卖出</v>
      </c>
      <c r="E49" s="1">
        <v>14.56</v>
      </c>
      <c r="F49" s="1">
        <v>1000</v>
      </c>
      <c r="G49" s="1">
        <v>14560</v>
      </c>
      <c r="H49" s="1">
        <v>5</v>
      </c>
      <c r="I49" s="1">
        <v>3.71</v>
      </c>
      <c r="J49" s="1">
        <v>14.55</v>
      </c>
      <c r="K49" s="1">
        <v>0</v>
      </c>
      <c r="L49" s="1">
        <v>0</v>
      </c>
      <c r="M49" s="1">
        <v>0</v>
      </c>
      <c r="N49" s="1">
        <v>14540.45</v>
      </c>
      <c r="O49" s="1">
        <v>15559.09</v>
      </c>
      <c r="P49" s="1">
        <v>0</v>
      </c>
      <c r="Q49" s="1" t="str">
        <f t="shared" si="18"/>
        <v>0602175409</v>
      </c>
      <c r="R49" s="1" t="str">
        <f t="shared" si="2"/>
        <v>人民币</v>
      </c>
      <c r="S49" s="1" t="str">
        <f>"T4000042"</f>
        <v>T4000042</v>
      </c>
    </row>
    <row r="50" spans="1:19">
      <c r="A50" s="1" t="str">
        <f t="shared" si="19"/>
        <v>20180228</v>
      </c>
      <c r="B50" s="1" t="str">
        <f>"002419"</f>
        <v>002419</v>
      </c>
      <c r="C50" s="1" t="str">
        <f>"天虹股份"</f>
        <v>天虹股份</v>
      </c>
      <c r="D50" s="1" t="str">
        <f t="shared" si="17"/>
        <v>担保品买入</v>
      </c>
      <c r="E50" s="1">
        <v>19.09</v>
      </c>
      <c r="F50" s="1">
        <v>800</v>
      </c>
      <c r="G50" s="1">
        <v>15272</v>
      </c>
      <c r="H50" s="1">
        <v>5</v>
      </c>
      <c r="I50" s="1">
        <v>3.64</v>
      </c>
      <c r="J50" s="1">
        <v>0</v>
      </c>
      <c r="K50" s="1">
        <v>0</v>
      </c>
      <c r="L50" s="1">
        <v>0</v>
      </c>
      <c r="M50" s="1">
        <v>0</v>
      </c>
      <c r="N50" s="1">
        <v>-15277</v>
      </c>
      <c r="O50" s="1">
        <v>282.09</v>
      </c>
      <c r="P50" s="1">
        <v>800</v>
      </c>
      <c r="Q50" s="1" t="str">
        <f t="shared" si="18"/>
        <v>0602175409</v>
      </c>
      <c r="R50" s="1" t="str">
        <f t="shared" si="2"/>
        <v>人民币</v>
      </c>
      <c r="S50" s="1" t="str">
        <f>"T4000227"</f>
        <v>T4000227</v>
      </c>
    </row>
    <row r="51" spans="1:18">
      <c r="A51" s="1" t="str">
        <f t="shared" si="19"/>
        <v>20180228</v>
      </c>
      <c r="D51" s="1" t="str">
        <f>"偿还融资负债本金"</f>
        <v>偿还融资负债本金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-197.37</v>
      </c>
      <c r="O51" s="1">
        <v>82.09</v>
      </c>
      <c r="P51" s="1">
        <v>0</v>
      </c>
      <c r="R51" s="1" t="str">
        <f t="shared" si="2"/>
        <v>人民币</v>
      </c>
    </row>
    <row r="52" spans="1:18">
      <c r="A52" s="1" t="str">
        <f t="shared" si="19"/>
        <v>20180228</v>
      </c>
      <c r="D52" s="1" t="str">
        <f>"偿还融资利息"</f>
        <v>偿还融资利息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-2.63</v>
      </c>
      <c r="O52" s="1">
        <v>279.46</v>
      </c>
      <c r="P52" s="1">
        <v>0</v>
      </c>
      <c r="R52" s="1" t="str">
        <f t="shared" si="2"/>
        <v>人民币</v>
      </c>
    </row>
    <row r="53" spans="1:19">
      <c r="A53" s="1" t="str">
        <f>"20180301"</f>
        <v>20180301</v>
      </c>
      <c r="B53" s="1" t="str">
        <f t="shared" ref="B53:B56" si="21">"000601"</f>
        <v>000601</v>
      </c>
      <c r="C53" s="1" t="str">
        <f t="shared" ref="C53:C56" si="22">"韶能股份"</f>
        <v>韶能股份</v>
      </c>
      <c r="D53" s="1" t="str">
        <f t="shared" si="20"/>
        <v>担保品卖出</v>
      </c>
      <c r="E53" s="1">
        <v>6.92</v>
      </c>
      <c r="F53" s="1">
        <v>3000</v>
      </c>
      <c r="G53" s="1">
        <v>20760</v>
      </c>
      <c r="H53" s="1">
        <v>6.44</v>
      </c>
      <c r="I53" s="1">
        <v>4.59</v>
      </c>
      <c r="J53" s="1">
        <v>20.76</v>
      </c>
      <c r="K53" s="1">
        <v>0</v>
      </c>
      <c r="L53" s="1">
        <v>0</v>
      </c>
      <c r="M53" s="1">
        <v>0</v>
      </c>
      <c r="N53" s="1">
        <v>20732.8</v>
      </c>
      <c r="O53" s="1">
        <v>20814.89</v>
      </c>
      <c r="P53" s="1">
        <v>3000</v>
      </c>
      <c r="Q53" s="1" t="str">
        <f t="shared" ref="Q53:Q56" si="23">"0602175409"</f>
        <v>0602175409</v>
      </c>
      <c r="R53" s="1" t="str">
        <f t="shared" si="2"/>
        <v>人民币</v>
      </c>
      <c r="S53" s="1" t="str">
        <f>"T4000591"</f>
        <v>T4000591</v>
      </c>
    </row>
    <row r="54" spans="1:19">
      <c r="A54" s="1" t="str">
        <f>"20180302"</f>
        <v>20180302</v>
      </c>
      <c r="B54" s="1" t="str">
        <f>"002419"</f>
        <v>002419</v>
      </c>
      <c r="C54" s="1" t="str">
        <f>"天虹股份"</f>
        <v>天虹股份</v>
      </c>
      <c r="D54" s="1" t="str">
        <f t="shared" si="20"/>
        <v>担保品卖出</v>
      </c>
      <c r="E54" s="1">
        <v>19.02</v>
      </c>
      <c r="F54" s="1">
        <v>800</v>
      </c>
      <c r="G54" s="1">
        <v>15216</v>
      </c>
      <c r="H54" s="1">
        <v>5</v>
      </c>
      <c r="I54" s="1">
        <v>3.66</v>
      </c>
      <c r="J54" s="1">
        <v>15.22</v>
      </c>
      <c r="K54" s="1">
        <v>0</v>
      </c>
      <c r="L54" s="1">
        <v>0</v>
      </c>
      <c r="M54" s="1">
        <v>0</v>
      </c>
      <c r="N54" s="1">
        <v>15195.78</v>
      </c>
      <c r="O54" s="1">
        <v>36010.67</v>
      </c>
      <c r="P54" s="1">
        <v>0</v>
      </c>
      <c r="Q54" s="1" t="str">
        <f t="shared" si="23"/>
        <v>0602175409</v>
      </c>
      <c r="R54" s="1" t="str">
        <f t="shared" si="2"/>
        <v>人民币</v>
      </c>
      <c r="S54" s="1" t="str">
        <f>"T4000157"</f>
        <v>T4000157</v>
      </c>
    </row>
    <row r="55" spans="1:19">
      <c r="A55" s="1" t="str">
        <f>"20180306"</f>
        <v>20180306</v>
      </c>
      <c r="B55" s="1" t="str">
        <f t="shared" si="21"/>
        <v>000601</v>
      </c>
      <c r="C55" s="1" t="str">
        <f t="shared" si="22"/>
        <v>韶能股份</v>
      </c>
      <c r="D55" s="1" t="str">
        <f>"担保品买入"</f>
        <v>担保品买入</v>
      </c>
      <c r="E55" s="1">
        <v>6.75</v>
      </c>
      <c r="F55" s="1">
        <v>1500</v>
      </c>
      <c r="G55" s="1">
        <v>10125</v>
      </c>
      <c r="H55" s="1">
        <v>5</v>
      </c>
      <c r="I55" s="1">
        <v>4.12</v>
      </c>
      <c r="J55" s="1">
        <v>0</v>
      </c>
      <c r="K55" s="1">
        <v>0</v>
      </c>
      <c r="L55" s="1">
        <v>0</v>
      </c>
      <c r="M55" s="1">
        <v>0</v>
      </c>
      <c r="N55" s="1">
        <v>-10130</v>
      </c>
      <c r="O55" s="1">
        <v>25880.67</v>
      </c>
      <c r="P55" s="1">
        <v>4500</v>
      </c>
      <c r="Q55" s="1" t="str">
        <f t="shared" si="23"/>
        <v>0602175409</v>
      </c>
      <c r="R55" s="1" t="str">
        <f t="shared" si="2"/>
        <v>人民币</v>
      </c>
      <c r="S55" s="1" t="str">
        <f>"T4000383"</f>
        <v>T4000383</v>
      </c>
    </row>
    <row r="56" spans="1:19">
      <c r="A56" s="1" t="str">
        <f>"20180308"</f>
        <v>20180308</v>
      </c>
      <c r="B56" s="1" t="str">
        <f t="shared" si="21"/>
        <v>000601</v>
      </c>
      <c r="C56" s="1" t="str">
        <f t="shared" si="22"/>
        <v>韶能股份</v>
      </c>
      <c r="D56" s="1" t="str">
        <f>"担保品买入"</f>
        <v>担保品买入</v>
      </c>
      <c r="E56" s="1">
        <v>6.81</v>
      </c>
      <c r="F56" s="1">
        <v>1500</v>
      </c>
      <c r="G56" s="1">
        <v>10215</v>
      </c>
      <c r="H56" s="1">
        <v>5</v>
      </c>
      <c r="I56" s="1">
        <v>4.1</v>
      </c>
      <c r="J56" s="1">
        <v>0</v>
      </c>
      <c r="K56" s="1">
        <v>0</v>
      </c>
      <c r="L56" s="1">
        <v>0</v>
      </c>
      <c r="M56" s="1">
        <v>0</v>
      </c>
      <c r="N56" s="1">
        <v>-10220</v>
      </c>
      <c r="O56" s="1">
        <v>15660.67</v>
      </c>
      <c r="P56" s="1">
        <v>6000</v>
      </c>
      <c r="Q56" s="1" t="str">
        <f t="shared" si="23"/>
        <v>0602175409</v>
      </c>
      <c r="R56" s="1" t="str">
        <f t="shared" si="2"/>
        <v>人民币</v>
      </c>
      <c r="S56" s="1" t="str">
        <f>"T4000390"</f>
        <v>T4000390</v>
      </c>
    </row>
    <row r="57" spans="1:18">
      <c r="A57" s="1" t="str">
        <f t="shared" ref="A57:A63" si="24">"20180320"</f>
        <v>20180320</v>
      </c>
      <c r="D57" s="1" t="str">
        <f>"利息归本"</f>
        <v>利息归本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12.76</v>
      </c>
      <c r="O57" s="1">
        <v>15673.43</v>
      </c>
      <c r="P57" s="1">
        <v>0</v>
      </c>
      <c r="R57" s="1" t="str">
        <f t="shared" si="2"/>
        <v>人民币</v>
      </c>
    </row>
    <row r="58" spans="1:18">
      <c r="A58" s="1" t="str">
        <f t="shared" si="24"/>
        <v>20180320</v>
      </c>
      <c r="D58" s="1" t="str">
        <f t="shared" ref="D58:D63" si="25">"偿还融资利息"</f>
        <v>偿还融资利息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-3.33</v>
      </c>
      <c r="O58" s="1">
        <v>15670.1</v>
      </c>
      <c r="P58" s="1">
        <v>0</v>
      </c>
      <c r="R58" s="1" t="str">
        <f t="shared" si="2"/>
        <v>人民币</v>
      </c>
    </row>
    <row r="59" spans="1:18">
      <c r="A59" s="1" t="str">
        <f t="shared" si="24"/>
        <v>20180320</v>
      </c>
      <c r="D59" s="1" t="str">
        <f t="shared" si="25"/>
        <v>偿还融资利息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-123.36</v>
      </c>
      <c r="O59" s="1">
        <v>15546.74</v>
      </c>
      <c r="P59" s="1">
        <v>0</v>
      </c>
      <c r="R59" s="1" t="str">
        <f t="shared" si="2"/>
        <v>人民币</v>
      </c>
    </row>
    <row r="60" spans="1:18">
      <c r="A60" s="1" t="str">
        <f t="shared" si="24"/>
        <v>20180320</v>
      </c>
      <c r="D60" s="1" t="str">
        <f t="shared" si="25"/>
        <v>偿还融资利息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-118.65</v>
      </c>
      <c r="O60" s="1">
        <v>15428.09</v>
      </c>
      <c r="P60" s="1">
        <v>0</v>
      </c>
      <c r="R60" s="1" t="str">
        <f t="shared" si="2"/>
        <v>人民币</v>
      </c>
    </row>
    <row r="61" spans="1:18">
      <c r="A61" s="1" t="str">
        <f t="shared" si="24"/>
        <v>20180320</v>
      </c>
      <c r="D61" s="1" t="str">
        <f t="shared" si="25"/>
        <v>偿还融资利息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-148.18</v>
      </c>
      <c r="O61" s="1">
        <v>15279.91</v>
      </c>
      <c r="P61" s="1">
        <v>0</v>
      </c>
      <c r="R61" s="1" t="str">
        <f t="shared" si="2"/>
        <v>人民币</v>
      </c>
    </row>
    <row r="62" spans="1:18">
      <c r="A62" s="1" t="str">
        <f t="shared" si="24"/>
        <v>20180320</v>
      </c>
      <c r="D62" s="1" t="str">
        <f t="shared" si="25"/>
        <v>偿还融资利息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-120.7</v>
      </c>
      <c r="O62" s="1">
        <v>15159.21</v>
      </c>
      <c r="P62" s="1">
        <v>0</v>
      </c>
      <c r="R62" s="1" t="str">
        <f t="shared" si="2"/>
        <v>人民币</v>
      </c>
    </row>
    <row r="63" spans="1:18">
      <c r="A63" s="1" t="str">
        <f t="shared" si="24"/>
        <v>20180320</v>
      </c>
      <c r="D63" s="1" t="str">
        <f t="shared" si="25"/>
        <v>偿还融资利息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-120.7</v>
      </c>
      <c r="O63" s="1">
        <v>15038.51</v>
      </c>
      <c r="P63" s="1">
        <v>0</v>
      </c>
      <c r="R63" s="1" t="str">
        <f t="shared" si="2"/>
        <v>人民币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5"/>
  <sheetViews>
    <sheetView topLeftCell="A31" workbookViewId="0">
      <selection activeCell="A2" sqref="A2:P45"/>
    </sheetView>
  </sheetViews>
  <sheetFormatPr defaultColWidth="9" defaultRowHeight="13.5"/>
  <cols>
    <col min="1" max="16384" width="9" style="1"/>
  </cols>
  <sheetData>
    <row r="1" spans="1:19">
      <c r="A1" s="1" t="str">
        <f>"交割日期"</f>
        <v>交割日期</v>
      </c>
      <c r="B1" s="1" t="str">
        <f>"证券代码"</f>
        <v>证券代码</v>
      </c>
      <c r="C1" s="1" t="str">
        <f>"证券名称"</f>
        <v>证券名称</v>
      </c>
      <c r="D1" s="1" t="str">
        <f>"业务名称"</f>
        <v>业务名称</v>
      </c>
      <c r="E1" s="1" t="str">
        <f>"成交价格"</f>
        <v>成交价格</v>
      </c>
      <c r="F1" s="1" t="str">
        <f>"成交数量"</f>
        <v>成交数量</v>
      </c>
      <c r="G1" s="1" t="str">
        <f>"成交金额"</f>
        <v>成交金额</v>
      </c>
      <c r="H1" s="1" t="str">
        <f>"手续费"</f>
        <v>手续费</v>
      </c>
      <c r="I1" s="1" t="str">
        <f>"净佣金"</f>
        <v>净佣金</v>
      </c>
      <c r="J1" s="1" t="str">
        <f>"印花税"</f>
        <v>印花税</v>
      </c>
      <c r="K1" s="1" t="str">
        <f>"过户费"</f>
        <v>过户费</v>
      </c>
      <c r="L1" s="1" t="str">
        <f>"结算费"</f>
        <v>结算费</v>
      </c>
      <c r="M1" s="1" t="str">
        <f>"其他费"</f>
        <v>其他费</v>
      </c>
      <c r="N1" s="1" t="str">
        <f>"发生金额"</f>
        <v>发生金额</v>
      </c>
      <c r="O1" s="1" t="str">
        <f>"剩余金额"</f>
        <v>剩余金额</v>
      </c>
      <c r="P1" s="1" t="str">
        <f>"证券数量"</f>
        <v>证券数量</v>
      </c>
      <c r="Q1" s="1" t="str">
        <f>"股东代码"</f>
        <v>股东代码</v>
      </c>
      <c r="R1" s="1" t="str">
        <f>"币种"</f>
        <v>币种</v>
      </c>
      <c r="S1" s="1" t="str">
        <f>"成交编号"</f>
        <v>成交编号</v>
      </c>
    </row>
    <row r="2" spans="1:19">
      <c r="A2" s="1" t="str">
        <f>"20180402"</f>
        <v>20180402</v>
      </c>
      <c r="B2" s="1" t="str">
        <f>"002183"</f>
        <v>002183</v>
      </c>
      <c r="C2" s="1" t="str">
        <f>"怡 亚 通"</f>
        <v>怡 亚 通</v>
      </c>
      <c r="D2" s="1" t="str">
        <f>"融资买入"</f>
        <v>融资买入</v>
      </c>
      <c r="E2" s="1">
        <v>7.37</v>
      </c>
      <c r="F2" s="1">
        <v>2500</v>
      </c>
      <c r="G2" s="1">
        <v>18425</v>
      </c>
      <c r="H2" s="1">
        <v>9.21</v>
      </c>
      <c r="I2" s="1">
        <v>7.58</v>
      </c>
      <c r="J2" s="1">
        <v>0</v>
      </c>
      <c r="K2" s="1">
        <v>0</v>
      </c>
      <c r="L2" s="1">
        <v>0</v>
      </c>
      <c r="M2" s="1">
        <v>0</v>
      </c>
      <c r="N2" s="1">
        <v>-18434.21</v>
      </c>
      <c r="O2" s="1">
        <v>-3395.7</v>
      </c>
      <c r="P2" s="1">
        <v>5000</v>
      </c>
      <c r="Q2" s="1" t="str">
        <f>"0602175409"</f>
        <v>0602175409</v>
      </c>
      <c r="R2" s="1" t="str">
        <f t="shared" ref="R2:R45" si="0">"人民币"</f>
        <v>人民币</v>
      </c>
      <c r="S2" s="1" t="str">
        <f>"T4000607"</f>
        <v>T4000607</v>
      </c>
    </row>
    <row r="3" spans="1:19">
      <c r="A3" s="1" t="str">
        <f>"20180402"</f>
        <v>20180402</v>
      </c>
      <c r="D3" s="1" t="str">
        <f>"融资借入"</f>
        <v>融资借入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18434.21</v>
      </c>
      <c r="O3" s="1">
        <v>15038.51</v>
      </c>
      <c r="P3" s="1">
        <v>0</v>
      </c>
      <c r="R3" s="1" t="str">
        <f t="shared" si="0"/>
        <v>人民币</v>
      </c>
      <c r="S3" s="1" t="str">
        <f>"T4000607"</f>
        <v>T4000607</v>
      </c>
    </row>
    <row r="4" spans="1:18">
      <c r="A4" s="1" t="str">
        <f t="shared" ref="A4:A7" si="1">"20180413"</f>
        <v>20180413</v>
      </c>
      <c r="D4" s="1" t="str">
        <f t="shared" ref="D4:D8" si="2">"偿还融资负债本金"</f>
        <v>偿还融资负债本金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-678.35</v>
      </c>
      <c r="O4" s="1">
        <v>14356.51</v>
      </c>
      <c r="P4" s="1">
        <v>0</v>
      </c>
      <c r="R4" s="1" t="str">
        <f t="shared" si="0"/>
        <v>人民币</v>
      </c>
    </row>
    <row r="5" spans="1:18">
      <c r="A5" s="1" t="str">
        <f t="shared" si="1"/>
        <v>20180413</v>
      </c>
      <c r="D5" s="1" t="str">
        <f t="shared" ref="D5:D21" si="3">"偿还融资利息"</f>
        <v>偿还融资利息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-3.65</v>
      </c>
      <c r="O5" s="1">
        <v>15034.86</v>
      </c>
      <c r="P5" s="1">
        <v>0</v>
      </c>
      <c r="R5" s="1" t="str">
        <f t="shared" si="0"/>
        <v>人民币</v>
      </c>
    </row>
    <row r="6" spans="1:18">
      <c r="A6" s="1" t="str">
        <f t="shared" si="1"/>
        <v>20180413</v>
      </c>
      <c r="D6" s="1" t="str">
        <f t="shared" si="2"/>
        <v>偿还融资负债本金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-34.54</v>
      </c>
      <c r="O6" s="1">
        <v>14238.51</v>
      </c>
      <c r="P6" s="1">
        <v>0</v>
      </c>
      <c r="R6" s="1" t="str">
        <f t="shared" si="0"/>
        <v>人民币</v>
      </c>
    </row>
    <row r="7" spans="1:18">
      <c r="A7" s="1" t="str">
        <f t="shared" si="1"/>
        <v>20180413</v>
      </c>
      <c r="D7" s="1" t="str">
        <f t="shared" si="3"/>
        <v>偿还融资利息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-83.46</v>
      </c>
      <c r="O7" s="1">
        <v>14273.05</v>
      </c>
      <c r="P7" s="1">
        <v>0</v>
      </c>
      <c r="R7" s="1" t="str">
        <f t="shared" si="0"/>
        <v>人民币</v>
      </c>
    </row>
    <row r="8" spans="1:18">
      <c r="A8" s="1" t="str">
        <f t="shared" ref="A8:A15" si="4">"20180420"</f>
        <v>20180420</v>
      </c>
      <c r="D8" s="1" t="str">
        <f t="shared" si="2"/>
        <v>偿还融资负债本金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-12974.66</v>
      </c>
      <c r="O8" s="1">
        <v>1238.51</v>
      </c>
      <c r="P8" s="1">
        <v>0</v>
      </c>
      <c r="R8" s="1" t="str">
        <f t="shared" si="0"/>
        <v>人民币</v>
      </c>
    </row>
    <row r="9" spans="1:18">
      <c r="A9" s="1" t="str">
        <f t="shared" si="4"/>
        <v>20180420</v>
      </c>
      <c r="D9" s="1" t="str">
        <f t="shared" si="3"/>
        <v>偿还融资利息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-25.34</v>
      </c>
      <c r="O9" s="1">
        <v>14213.17</v>
      </c>
      <c r="P9" s="1">
        <v>0</v>
      </c>
      <c r="R9" s="1" t="str">
        <f t="shared" si="0"/>
        <v>人民币</v>
      </c>
    </row>
    <row r="10" spans="1:18">
      <c r="A10" s="1" t="str">
        <f t="shared" si="4"/>
        <v>20180420</v>
      </c>
      <c r="D10" s="1" t="str">
        <f t="shared" si="3"/>
        <v>偿还融资利息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-0.61</v>
      </c>
      <c r="O10" s="1">
        <v>1237.9</v>
      </c>
      <c r="P10" s="1">
        <v>0</v>
      </c>
      <c r="R10" s="1" t="str">
        <f t="shared" si="0"/>
        <v>人民币</v>
      </c>
    </row>
    <row r="11" spans="1:18">
      <c r="A11" s="1" t="str">
        <f t="shared" si="4"/>
        <v>20180420</v>
      </c>
      <c r="D11" s="1" t="str">
        <f t="shared" si="3"/>
        <v>偿还融资利息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-108.18</v>
      </c>
      <c r="O11" s="1">
        <v>1129.72</v>
      </c>
      <c r="P11" s="1">
        <v>0</v>
      </c>
      <c r="R11" s="1" t="str">
        <f t="shared" si="0"/>
        <v>人民币</v>
      </c>
    </row>
    <row r="12" spans="1:18">
      <c r="A12" s="1" t="str">
        <f t="shared" si="4"/>
        <v>20180420</v>
      </c>
      <c r="D12" s="1" t="str">
        <f t="shared" si="3"/>
        <v>偿还融资利息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-135.12</v>
      </c>
      <c r="O12" s="1">
        <v>994.6</v>
      </c>
      <c r="P12" s="1">
        <v>0</v>
      </c>
      <c r="R12" s="1" t="str">
        <f t="shared" si="0"/>
        <v>人民币</v>
      </c>
    </row>
    <row r="13" spans="1:18">
      <c r="A13" s="1" t="str">
        <f t="shared" si="4"/>
        <v>20180420</v>
      </c>
      <c r="D13" s="1" t="str">
        <f t="shared" si="3"/>
        <v>偿还融资利息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-110.05</v>
      </c>
      <c r="O13" s="1">
        <v>884.55</v>
      </c>
      <c r="P13" s="1">
        <v>0</v>
      </c>
      <c r="R13" s="1" t="str">
        <f t="shared" si="0"/>
        <v>人民币</v>
      </c>
    </row>
    <row r="14" spans="1:18">
      <c r="A14" s="1" t="str">
        <f t="shared" si="4"/>
        <v>20180420</v>
      </c>
      <c r="D14" s="1" t="str">
        <f t="shared" si="3"/>
        <v>偿还融资利息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-110.05</v>
      </c>
      <c r="O14" s="1">
        <v>774.5</v>
      </c>
      <c r="P14" s="1">
        <v>0</v>
      </c>
      <c r="R14" s="1" t="str">
        <f t="shared" si="0"/>
        <v>人民币</v>
      </c>
    </row>
    <row r="15" spans="1:18">
      <c r="A15" s="1" t="str">
        <f t="shared" si="4"/>
        <v>20180420</v>
      </c>
      <c r="D15" s="1" t="str">
        <f t="shared" si="3"/>
        <v>偿还融资利息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-81.29</v>
      </c>
      <c r="O15" s="1">
        <v>693.21</v>
      </c>
      <c r="P15" s="1">
        <v>0</v>
      </c>
      <c r="R15" s="1" t="str">
        <f t="shared" si="0"/>
        <v>人民币</v>
      </c>
    </row>
    <row r="16" spans="1:18">
      <c r="A16" s="1" t="str">
        <f t="shared" ref="A16:A21" si="5">"20180518"</f>
        <v>20180518</v>
      </c>
      <c r="D16" s="1" t="str">
        <f t="shared" si="3"/>
        <v>偿还融资利息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-17.08</v>
      </c>
      <c r="O16" s="1">
        <v>676.13</v>
      </c>
      <c r="P16" s="1">
        <v>0</v>
      </c>
      <c r="R16" s="1" t="str">
        <f t="shared" si="0"/>
        <v>人民币</v>
      </c>
    </row>
    <row r="17" spans="1:18">
      <c r="A17" s="1" t="str">
        <f t="shared" si="5"/>
        <v>20180518</v>
      </c>
      <c r="D17" s="1" t="str">
        <f t="shared" si="3"/>
        <v>偿还融资利息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-97.71</v>
      </c>
      <c r="O17" s="1">
        <v>578.42</v>
      </c>
      <c r="P17" s="1">
        <v>0</v>
      </c>
      <c r="R17" s="1" t="str">
        <f t="shared" si="0"/>
        <v>人民币</v>
      </c>
    </row>
    <row r="18" spans="1:18">
      <c r="A18" s="1" t="str">
        <f t="shared" si="5"/>
        <v>20180518</v>
      </c>
      <c r="D18" s="1" t="str">
        <f t="shared" si="3"/>
        <v>偿还融资利息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-122.04</v>
      </c>
      <c r="O18" s="1">
        <v>456.38</v>
      </c>
      <c r="P18" s="1">
        <v>0</v>
      </c>
      <c r="R18" s="1" t="str">
        <f t="shared" si="0"/>
        <v>人民币</v>
      </c>
    </row>
    <row r="19" spans="1:18">
      <c r="A19" s="1" t="str">
        <f t="shared" si="5"/>
        <v>20180518</v>
      </c>
      <c r="D19" s="1" t="str">
        <f t="shared" si="3"/>
        <v>偿还融资利息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-99.4</v>
      </c>
      <c r="O19" s="1">
        <v>356.98</v>
      </c>
      <c r="P19" s="1">
        <v>0</v>
      </c>
      <c r="R19" s="1" t="str">
        <f t="shared" si="0"/>
        <v>人民币</v>
      </c>
    </row>
    <row r="20" spans="1:18">
      <c r="A20" s="1" t="str">
        <f t="shared" si="5"/>
        <v>20180518</v>
      </c>
      <c r="D20" s="1" t="str">
        <f t="shared" si="3"/>
        <v>偿还融资利息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-99.4</v>
      </c>
      <c r="O20" s="1">
        <v>257.58</v>
      </c>
      <c r="P20" s="1">
        <v>0</v>
      </c>
      <c r="R20" s="1" t="str">
        <f t="shared" si="0"/>
        <v>人民币</v>
      </c>
    </row>
    <row r="21" spans="1:18">
      <c r="A21" s="1" t="str">
        <f t="shared" si="5"/>
        <v>20180518</v>
      </c>
      <c r="D21" s="1" t="str">
        <f t="shared" si="3"/>
        <v>偿还融资利息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-119.79</v>
      </c>
      <c r="O21" s="1">
        <v>137.79</v>
      </c>
      <c r="P21" s="1">
        <v>0</v>
      </c>
      <c r="R21" s="1" t="str">
        <f t="shared" si="0"/>
        <v>人民币</v>
      </c>
    </row>
    <row r="22" spans="1:19">
      <c r="A22" s="1" t="str">
        <f>"20180605"</f>
        <v>20180605</v>
      </c>
      <c r="B22" s="1" t="str">
        <f>"000768"</f>
        <v>000768</v>
      </c>
      <c r="C22" s="1" t="str">
        <f>"中航飞机"</f>
        <v>中航飞机</v>
      </c>
      <c r="D22" s="1" t="str">
        <f>"融资买入"</f>
        <v>融资买入</v>
      </c>
      <c r="E22" s="1">
        <v>15.5</v>
      </c>
      <c r="F22" s="1">
        <v>500</v>
      </c>
      <c r="G22" s="1">
        <v>7750</v>
      </c>
      <c r="H22" s="1">
        <v>5</v>
      </c>
      <c r="I22" s="1">
        <v>4.3</v>
      </c>
      <c r="J22" s="1">
        <v>0</v>
      </c>
      <c r="K22" s="1">
        <v>0</v>
      </c>
      <c r="L22" s="1">
        <v>0</v>
      </c>
      <c r="M22" s="1">
        <v>0</v>
      </c>
      <c r="N22" s="1">
        <v>-7755</v>
      </c>
      <c r="O22" s="1">
        <v>-7617.21</v>
      </c>
      <c r="P22" s="1">
        <v>500</v>
      </c>
      <c r="Q22" s="1" t="str">
        <f t="shared" ref="Q22:Q28" si="6">"0602175409"</f>
        <v>0602175409</v>
      </c>
      <c r="R22" s="1" t="str">
        <f t="shared" si="0"/>
        <v>人民币</v>
      </c>
      <c r="S22" s="1" t="str">
        <f>"T4000026"</f>
        <v>T4000026</v>
      </c>
    </row>
    <row r="23" spans="1:19">
      <c r="A23" s="1" t="str">
        <f>"20180605"</f>
        <v>20180605</v>
      </c>
      <c r="D23" s="1" t="str">
        <f>"融资借入"</f>
        <v>融资借入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7755</v>
      </c>
      <c r="O23" s="1">
        <v>137.79</v>
      </c>
      <c r="P23" s="1">
        <v>0</v>
      </c>
      <c r="R23" s="1" t="str">
        <f t="shared" si="0"/>
        <v>人民币</v>
      </c>
      <c r="S23" s="1" t="str">
        <f>"T4000026"</f>
        <v>T4000026</v>
      </c>
    </row>
    <row r="24" spans="1:19">
      <c r="A24" s="1" t="str">
        <f t="shared" ref="A24:A26" si="7">"20180606"</f>
        <v>20180606</v>
      </c>
      <c r="B24" s="1" t="str">
        <f>"000768"</f>
        <v>000768</v>
      </c>
      <c r="C24" s="1" t="str">
        <f>"中航飞机"</f>
        <v>中航飞机</v>
      </c>
      <c r="D24" s="1" t="str">
        <f>"卖券还款"</f>
        <v>卖券还款</v>
      </c>
      <c r="E24" s="1">
        <v>16.15</v>
      </c>
      <c r="F24" s="1">
        <v>500</v>
      </c>
      <c r="G24" s="1">
        <v>8075</v>
      </c>
      <c r="H24" s="1">
        <v>5</v>
      </c>
      <c r="I24" s="1">
        <v>4.29</v>
      </c>
      <c r="J24" s="1">
        <v>8.08</v>
      </c>
      <c r="K24" s="1">
        <v>0</v>
      </c>
      <c r="L24" s="1">
        <v>0</v>
      </c>
      <c r="M24" s="1">
        <v>0</v>
      </c>
      <c r="N24" s="1">
        <v>8061.92</v>
      </c>
      <c r="O24" s="1">
        <v>8199.71</v>
      </c>
      <c r="P24" s="1">
        <v>0</v>
      </c>
      <c r="Q24" s="1" t="str">
        <f t="shared" si="6"/>
        <v>0602175409</v>
      </c>
      <c r="R24" s="1" t="str">
        <f t="shared" si="0"/>
        <v>人民币</v>
      </c>
      <c r="S24" s="1" t="str">
        <f t="shared" ref="S24:S26" si="8">"T4000297"</f>
        <v>T4000297</v>
      </c>
    </row>
    <row r="25" spans="1:19">
      <c r="A25" s="1" t="str">
        <f t="shared" si="7"/>
        <v>20180606</v>
      </c>
      <c r="D25" s="1" t="str">
        <f>"偿还融资利息"</f>
        <v>偿还融资利息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-78.45</v>
      </c>
      <c r="O25" s="1">
        <v>8121.26</v>
      </c>
      <c r="P25" s="1">
        <v>0</v>
      </c>
      <c r="R25" s="1" t="str">
        <f t="shared" si="0"/>
        <v>人民币</v>
      </c>
      <c r="S25" s="1" t="str">
        <f t="shared" si="8"/>
        <v>T4000297</v>
      </c>
    </row>
    <row r="26" spans="1:19">
      <c r="A26" s="1" t="str">
        <f t="shared" si="7"/>
        <v>20180606</v>
      </c>
      <c r="D26" s="1" t="str">
        <f>"偿还融资负债本金"</f>
        <v>偿还融资负债本金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-7964.24</v>
      </c>
      <c r="O26" s="1">
        <v>157.02</v>
      </c>
      <c r="P26" s="1">
        <v>0</v>
      </c>
      <c r="R26" s="1" t="str">
        <f t="shared" si="0"/>
        <v>人民币</v>
      </c>
      <c r="S26" s="1" t="str">
        <f t="shared" si="8"/>
        <v>T4000297</v>
      </c>
    </row>
    <row r="27" spans="1:18">
      <c r="A27" s="1" t="str">
        <f t="shared" ref="A27:A29" si="9">"20180608"</f>
        <v>20180608</v>
      </c>
      <c r="B27" s="1" t="str">
        <f>"000543"</f>
        <v>000543</v>
      </c>
      <c r="C27" s="1" t="str">
        <f>"皖能电力"</f>
        <v>皖能电力</v>
      </c>
      <c r="D27" s="1" t="str">
        <f>"红利入账"</f>
        <v>红利入账</v>
      </c>
      <c r="E27" s="1">
        <v>0</v>
      </c>
      <c r="F27" s="1">
        <v>0</v>
      </c>
      <c r="G27" s="1">
        <v>150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150</v>
      </c>
      <c r="O27" s="1">
        <v>307.02</v>
      </c>
      <c r="P27" s="1">
        <v>0</v>
      </c>
      <c r="Q27" s="1" t="str">
        <f t="shared" si="6"/>
        <v>0602175409</v>
      </c>
      <c r="R27" s="1" t="str">
        <f t="shared" si="0"/>
        <v>人民币</v>
      </c>
    </row>
    <row r="28" spans="1:19">
      <c r="A28" s="1" t="str">
        <f t="shared" si="9"/>
        <v>20180608</v>
      </c>
      <c r="B28" s="1" t="str">
        <f>"000768"</f>
        <v>000768</v>
      </c>
      <c r="C28" s="1" t="str">
        <f>"中航飞机"</f>
        <v>中航飞机</v>
      </c>
      <c r="D28" s="1" t="str">
        <f>"融资买入"</f>
        <v>融资买入</v>
      </c>
      <c r="E28" s="1">
        <v>15.58</v>
      </c>
      <c r="F28" s="1">
        <v>500</v>
      </c>
      <c r="G28" s="1">
        <v>7790</v>
      </c>
      <c r="H28" s="1">
        <v>5</v>
      </c>
      <c r="I28" s="1">
        <v>4.3</v>
      </c>
      <c r="J28" s="1">
        <v>0</v>
      </c>
      <c r="K28" s="1">
        <v>0</v>
      </c>
      <c r="L28" s="1">
        <v>0</v>
      </c>
      <c r="M28" s="1">
        <v>0</v>
      </c>
      <c r="N28" s="1">
        <v>-7795</v>
      </c>
      <c r="O28" s="1">
        <v>-7487.98</v>
      </c>
      <c r="P28" s="1">
        <v>500</v>
      </c>
      <c r="Q28" s="1" t="str">
        <f t="shared" si="6"/>
        <v>0602175409</v>
      </c>
      <c r="R28" s="1" t="str">
        <f t="shared" si="0"/>
        <v>人民币</v>
      </c>
      <c r="S28" s="1" t="str">
        <f>"T4000358"</f>
        <v>T4000358</v>
      </c>
    </row>
    <row r="29" spans="1:19">
      <c r="A29" s="1" t="str">
        <f t="shared" si="9"/>
        <v>20180608</v>
      </c>
      <c r="D29" s="1" t="str">
        <f>"融资借入"</f>
        <v>融资借入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7795</v>
      </c>
      <c r="O29" s="1">
        <v>307.02</v>
      </c>
      <c r="P29" s="1">
        <v>0</v>
      </c>
      <c r="R29" s="1" t="str">
        <f t="shared" si="0"/>
        <v>人民币</v>
      </c>
      <c r="S29" s="1" t="str">
        <f>"T4000358"</f>
        <v>T4000358</v>
      </c>
    </row>
    <row r="30" spans="1:18">
      <c r="A30" s="1" t="str">
        <f>"20180611"</f>
        <v>20180611</v>
      </c>
      <c r="D30" s="1" t="str">
        <f>"偿还融资负债本金"</f>
        <v>偿还融资负债本金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-187.45</v>
      </c>
      <c r="O30" s="1">
        <v>107.02</v>
      </c>
      <c r="P30" s="1">
        <v>0</v>
      </c>
      <c r="R30" s="1" t="str">
        <f t="shared" si="0"/>
        <v>人民币</v>
      </c>
    </row>
    <row r="31" spans="1:18">
      <c r="A31" s="1" t="str">
        <f>"20180611"</f>
        <v>20180611</v>
      </c>
      <c r="D31" s="1" t="str">
        <f>"偿还融资利息"</f>
        <v>偿还融资利息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-12.55</v>
      </c>
      <c r="O31" s="1">
        <v>294.47</v>
      </c>
      <c r="P31" s="1">
        <v>0</v>
      </c>
      <c r="R31" s="1" t="str">
        <f t="shared" si="0"/>
        <v>人民币</v>
      </c>
    </row>
    <row r="32" spans="1:19">
      <c r="A32" s="1" t="str">
        <f>"20180613"</f>
        <v>20180613</v>
      </c>
      <c r="B32" s="1" t="str">
        <f>"000667"</f>
        <v>000667</v>
      </c>
      <c r="C32" s="1" t="str">
        <f>"美好置业"</f>
        <v>美好置业</v>
      </c>
      <c r="D32" s="1" t="str">
        <f>"担保品卖出"</f>
        <v>担保品卖出</v>
      </c>
      <c r="E32" s="1">
        <v>2.32</v>
      </c>
      <c r="F32" s="1">
        <v>7000</v>
      </c>
      <c r="G32" s="1">
        <v>16240</v>
      </c>
      <c r="H32" s="1">
        <v>5.03</v>
      </c>
      <c r="I32" s="1">
        <v>3.6</v>
      </c>
      <c r="J32" s="1">
        <v>16.24</v>
      </c>
      <c r="K32" s="1">
        <v>0</v>
      </c>
      <c r="L32" s="1">
        <v>0</v>
      </c>
      <c r="M32" s="1">
        <v>0</v>
      </c>
      <c r="N32" s="1">
        <v>16218.73</v>
      </c>
      <c r="O32" s="1">
        <v>16325.75</v>
      </c>
      <c r="P32" s="1">
        <v>0</v>
      </c>
      <c r="Q32" s="1" t="str">
        <f t="shared" ref="Q32:Q34" si="10">"0602175409"</f>
        <v>0602175409</v>
      </c>
      <c r="R32" s="1" t="str">
        <f t="shared" si="0"/>
        <v>人民币</v>
      </c>
      <c r="S32" s="1" t="str">
        <f>"T4000660"</f>
        <v>T4000660</v>
      </c>
    </row>
    <row r="33" spans="1:19">
      <c r="A33" s="1" t="str">
        <f>"20180613"</f>
        <v>20180613</v>
      </c>
      <c r="B33" s="1" t="str">
        <f>"000050"</f>
        <v>000050</v>
      </c>
      <c r="C33" s="1" t="str">
        <f>"深天马Ａ"</f>
        <v>深天马Ａ</v>
      </c>
      <c r="D33" s="1" t="str">
        <f>"担保品买入"</f>
        <v>担保品买入</v>
      </c>
      <c r="E33" s="1">
        <v>16.8</v>
      </c>
      <c r="F33" s="1">
        <v>900</v>
      </c>
      <c r="G33" s="1">
        <v>15120</v>
      </c>
      <c r="H33" s="1">
        <v>5</v>
      </c>
      <c r="I33" s="1">
        <v>3.66</v>
      </c>
      <c r="J33" s="1">
        <v>0</v>
      </c>
      <c r="K33" s="1">
        <v>0</v>
      </c>
      <c r="L33" s="1">
        <v>0</v>
      </c>
      <c r="M33" s="1">
        <v>0</v>
      </c>
      <c r="N33" s="1">
        <v>-15125</v>
      </c>
      <c r="O33" s="1">
        <v>1200.75</v>
      </c>
      <c r="P33" s="1">
        <v>900</v>
      </c>
      <c r="Q33" s="1" t="str">
        <f t="shared" si="10"/>
        <v>0602175409</v>
      </c>
      <c r="R33" s="1" t="str">
        <f t="shared" si="0"/>
        <v>人民币</v>
      </c>
      <c r="S33" s="1" t="str">
        <f>"T4000661"</f>
        <v>T4000661</v>
      </c>
    </row>
    <row r="34" spans="1:19">
      <c r="A34" s="1" t="str">
        <f t="shared" ref="A34:A36" si="11">"20180615"</f>
        <v>20180615</v>
      </c>
      <c r="B34" s="1" t="str">
        <f>"000768"</f>
        <v>000768</v>
      </c>
      <c r="C34" s="1" t="str">
        <f>"中航飞机"</f>
        <v>中航飞机</v>
      </c>
      <c r="D34" s="1" t="str">
        <f>"卖券还款"</f>
        <v>卖券还款</v>
      </c>
      <c r="E34" s="1">
        <v>14.88</v>
      </c>
      <c r="F34" s="1">
        <v>500</v>
      </c>
      <c r="G34" s="1">
        <v>7440</v>
      </c>
      <c r="H34" s="1">
        <v>5</v>
      </c>
      <c r="I34" s="1">
        <v>4.34</v>
      </c>
      <c r="J34" s="1">
        <v>7.44</v>
      </c>
      <c r="K34" s="1">
        <v>0</v>
      </c>
      <c r="L34" s="1">
        <v>0</v>
      </c>
      <c r="M34" s="1">
        <v>0</v>
      </c>
      <c r="N34" s="1">
        <v>7427.56</v>
      </c>
      <c r="O34" s="1">
        <v>8628.31</v>
      </c>
      <c r="P34" s="1">
        <v>0</v>
      </c>
      <c r="Q34" s="1" t="str">
        <f t="shared" si="10"/>
        <v>0602175409</v>
      </c>
      <c r="R34" s="1" t="str">
        <f t="shared" si="0"/>
        <v>人民币</v>
      </c>
      <c r="S34" s="1" t="str">
        <f t="shared" ref="S34:S36" si="12">"T4000245"</f>
        <v>T4000245</v>
      </c>
    </row>
    <row r="35" spans="1:19">
      <c r="A35" s="1" t="str">
        <f t="shared" si="11"/>
        <v>20180615</v>
      </c>
      <c r="D35" s="1" t="str">
        <f t="shared" ref="D35:D45" si="13">"偿还融资利息"</f>
        <v>偿还融资利息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-9.88</v>
      </c>
      <c r="O35" s="1">
        <v>8618.43</v>
      </c>
      <c r="P35" s="1">
        <v>0</v>
      </c>
      <c r="R35" s="1" t="str">
        <f t="shared" si="0"/>
        <v>人民币</v>
      </c>
      <c r="S35" s="1" t="str">
        <f t="shared" si="12"/>
        <v>T4000245</v>
      </c>
    </row>
    <row r="36" spans="1:19">
      <c r="A36" s="1" t="str">
        <f t="shared" si="11"/>
        <v>20180615</v>
      </c>
      <c r="D36" s="1" t="str">
        <f>"偿还融资负债本金"</f>
        <v>偿还融资负债本金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-7400.36</v>
      </c>
      <c r="O36" s="1">
        <v>1218.07</v>
      </c>
      <c r="P36" s="1">
        <v>0</v>
      </c>
      <c r="R36" s="1" t="str">
        <f t="shared" si="0"/>
        <v>人民币</v>
      </c>
      <c r="S36" s="1" t="str">
        <f t="shared" si="12"/>
        <v>T4000245</v>
      </c>
    </row>
    <row r="37" spans="1:18">
      <c r="A37" s="1" t="str">
        <f t="shared" ref="A37:A45" si="14">"20180620"</f>
        <v>20180620</v>
      </c>
      <c r="D37" s="1" t="str">
        <f>"利息归本"</f>
        <v>利息归本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4.63</v>
      </c>
      <c r="O37" s="1">
        <v>1222.7</v>
      </c>
      <c r="P37" s="1">
        <v>0</v>
      </c>
      <c r="R37" s="1" t="str">
        <f t="shared" si="0"/>
        <v>人民币</v>
      </c>
    </row>
    <row r="38" spans="1:18">
      <c r="A38" s="1" t="str">
        <f t="shared" si="14"/>
        <v>20180620</v>
      </c>
      <c r="D38" s="1" t="str">
        <f t="shared" si="13"/>
        <v>偿还融资利息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-4.5</v>
      </c>
      <c r="O38" s="1">
        <v>1218.2</v>
      </c>
      <c r="P38" s="1">
        <v>0</v>
      </c>
      <c r="R38" s="1" t="str">
        <f t="shared" si="0"/>
        <v>人民币</v>
      </c>
    </row>
    <row r="39" spans="1:18">
      <c r="A39" s="1" t="str">
        <f t="shared" si="14"/>
        <v>20180620</v>
      </c>
      <c r="D39" s="1" t="str">
        <f t="shared" si="13"/>
        <v>偿还融资利息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-117.15</v>
      </c>
      <c r="O39" s="1">
        <v>1101.05</v>
      </c>
      <c r="P39" s="1">
        <v>0</v>
      </c>
      <c r="R39" s="1" t="str">
        <f t="shared" si="0"/>
        <v>人民币</v>
      </c>
    </row>
    <row r="40" spans="1:18">
      <c r="A40" s="1" t="str">
        <f t="shared" si="14"/>
        <v>20180620</v>
      </c>
      <c r="D40" s="1" t="str">
        <f t="shared" si="13"/>
        <v>偿还融资利息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-117.15</v>
      </c>
      <c r="O40" s="1">
        <v>983.9</v>
      </c>
      <c r="P40" s="1">
        <v>0</v>
      </c>
      <c r="R40" s="1" t="str">
        <f t="shared" si="0"/>
        <v>人民币</v>
      </c>
    </row>
    <row r="41" spans="1:18">
      <c r="A41" s="1" t="str">
        <f t="shared" si="14"/>
        <v>20180620</v>
      </c>
      <c r="D41" s="1" t="str">
        <f t="shared" si="13"/>
        <v>偿还融资利息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-141.19</v>
      </c>
      <c r="O41" s="1">
        <v>842.71</v>
      </c>
      <c r="P41" s="1">
        <v>0</v>
      </c>
      <c r="R41" s="1" t="str">
        <f t="shared" si="0"/>
        <v>人民币</v>
      </c>
    </row>
    <row r="42" spans="1:18">
      <c r="A42" s="1" t="str">
        <f t="shared" si="14"/>
        <v>20180620</v>
      </c>
      <c r="D42" s="1" t="str">
        <f t="shared" si="13"/>
        <v>偿还融资利息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-20.13</v>
      </c>
      <c r="O42" s="1">
        <v>822.58</v>
      </c>
      <c r="P42" s="1">
        <v>0</v>
      </c>
      <c r="R42" s="1" t="str">
        <f t="shared" si="0"/>
        <v>人民币</v>
      </c>
    </row>
    <row r="43" spans="1:18">
      <c r="A43" s="1" t="str">
        <f t="shared" si="14"/>
        <v>20180620</v>
      </c>
      <c r="D43" s="1" t="str">
        <f t="shared" si="13"/>
        <v>偿还融资利息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-28.8</v>
      </c>
      <c r="O43" s="1">
        <v>793.78</v>
      </c>
      <c r="P43" s="1">
        <v>0</v>
      </c>
      <c r="R43" s="1" t="str">
        <f t="shared" si="0"/>
        <v>人民币</v>
      </c>
    </row>
    <row r="44" spans="1:18">
      <c r="A44" s="1" t="str">
        <f t="shared" si="14"/>
        <v>20180620</v>
      </c>
      <c r="D44" s="1" t="str">
        <f t="shared" si="13"/>
        <v>偿还融资利息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-23.52</v>
      </c>
      <c r="O44" s="1">
        <v>770.26</v>
      </c>
      <c r="P44" s="1">
        <v>0</v>
      </c>
      <c r="R44" s="1" t="str">
        <f t="shared" si="0"/>
        <v>人民币</v>
      </c>
    </row>
    <row r="45" spans="1:18">
      <c r="A45" s="1" t="str">
        <f t="shared" si="14"/>
        <v>20180620</v>
      </c>
      <c r="D45" s="1" t="str">
        <f t="shared" si="13"/>
        <v>偿还融资利息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-115.37</v>
      </c>
      <c r="O45" s="1">
        <v>654.89</v>
      </c>
      <c r="P45" s="1">
        <v>0</v>
      </c>
      <c r="R45" s="1" t="str">
        <f t="shared" si="0"/>
        <v>人民币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6"/>
  <sheetViews>
    <sheetView topLeftCell="A4" workbookViewId="0">
      <selection activeCell="A2" sqref="A2:P26"/>
    </sheetView>
  </sheetViews>
  <sheetFormatPr defaultColWidth="9" defaultRowHeight="13.5"/>
  <cols>
    <col min="1" max="16384" width="9" style="1"/>
  </cols>
  <sheetData>
    <row r="1" spans="1:19">
      <c r="A1" s="1" t="str">
        <f>"交割日期"</f>
        <v>交割日期</v>
      </c>
      <c r="B1" s="1" t="str">
        <f>"证券代码"</f>
        <v>证券代码</v>
      </c>
      <c r="C1" s="1" t="str">
        <f>"证券名称"</f>
        <v>证券名称</v>
      </c>
      <c r="D1" s="1" t="str">
        <f>"业务名称"</f>
        <v>业务名称</v>
      </c>
      <c r="E1" s="1" t="str">
        <f>"成交价格"</f>
        <v>成交价格</v>
      </c>
      <c r="F1" s="1" t="str">
        <f>"成交数量"</f>
        <v>成交数量</v>
      </c>
      <c r="G1" s="1" t="str">
        <f>"成交金额"</f>
        <v>成交金额</v>
      </c>
      <c r="H1" s="1" t="str">
        <f>"手续费"</f>
        <v>手续费</v>
      </c>
      <c r="I1" s="1" t="str">
        <f>"净佣金"</f>
        <v>净佣金</v>
      </c>
      <c r="J1" s="1" t="str">
        <f>"印花税"</f>
        <v>印花税</v>
      </c>
      <c r="K1" s="1" t="str">
        <f>"过户费"</f>
        <v>过户费</v>
      </c>
      <c r="L1" s="1" t="str">
        <f>"结算费"</f>
        <v>结算费</v>
      </c>
      <c r="M1" s="1" t="str">
        <f>"其他费"</f>
        <v>其他费</v>
      </c>
      <c r="N1" s="1" t="str">
        <f>"发生金额"</f>
        <v>发生金额</v>
      </c>
      <c r="O1" s="1" t="str">
        <f>"剩余金额"</f>
        <v>剩余金额</v>
      </c>
      <c r="P1" s="1" t="str">
        <f>"证券数量"</f>
        <v>证券数量</v>
      </c>
      <c r="Q1" s="1" t="str">
        <f>"股东代码"</f>
        <v>股东代码</v>
      </c>
      <c r="R1" s="1" t="str">
        <f>"币种"</f>
        <v>币种</v>
      </c>
      <c r="S1" s="1" t="str">
        <f>"成交编号"</f>
        <v>成交编号</v>
      </c>
    </row>
    <row r="2" spans="1:18">
      <c r="A2" s="1" t="str">
        <f>"20180702"</f>
        <v>20180702</v>
      </c>
      <c r="B2" s="1" t="str">
        <f>"002183"</f>
        <v>002183</v>
      </c>
      <c r="C2" s="1" t="str">
        <f>"怡 亚 通"</f>
        <v>怡 亚 通</v>
      </c>
      <c r="D2" s="1" t="str">
        <f>"红利入账"</f>
        <v>红利入账</v>
      </c>
      <c r="E2" s="1">
        <v>0</v>
      </c>
      <c r="F2" s="1">
        <v>0</v>
      </c>
      <c r="G2" s="1">
        <v>290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290</v>
      </c>
      <c r="O2" s="1">
        <v>944.89</v>
      </c>
      <c r="P2" s="1">
        <v>0</v>
      </c>
      <c r="Q2" s="1" t="str">
        <f>"0602175409"</f>
        <v>0602175409</v>
      </c>
      <c r="R2" s="1" t="str">
        <f t="shared" ref="R2:R26" si="0">"人民币"</f>
        <v>人民币</v>
      </c>
    </row>
    <row r="3" spans="1:18">
      <c r="A3" s="1" t="str">
        <f t="shared" ref="A3:A10" si="1">"20180720"</f>
        <v>20180720</v>
      </c>
      <c r="D3" s="1" t="str">
        <f t="shared" ref="D3:D10" si="2">"偿还融资利息"</f>
        <v>偿还融资利息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-128.36</v>
      </c>
      <c r="O3" s="1">
        <v>816.53</v>
      </c>
      <c r="P3" s="1">
        <v>0</v>
      </c>
      <c r="R3" s="1" t="str">
        <f t="shared" si="0"/>
        <v>人民币</v>
      </c>
    </row>
    <row r="4" spans="1:18">
      <c r="A4" s="1" t="str">
        <f t="shared" si="1"/>
        <v>20180720</v>
      </c>
      <c r="D4" s="1" t="str">
        <f t="shared" si="2"/>
        <v>偿还融资利息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-18.3</v>
      </c>
      <c r="O4" s="1">
        <v>798.23</v>
      </c>
      <c r="P4" s="1">
        <v>0</v>
      </c>
      <c r="R4" s="1" t="str">
        <f t="shared" si="0"/>
        <v>人民币</v>
      </c>
    </row>
    <row r="5" spans="1:18">
      <c r="A5" s="1" t="str">
        <f t="shared" si="1"/>
        <v>20180720</v>
      </c>
      <c r="D5" s="1" t="str">
        <f t="shared" si="2"/>
        <v>偿还融资利息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-54</v>
      </c>
      <c r="O5" s="1">
        <v>744.23</v>
      </c>
      <c r="P5" s="1">
        <v>0</v>
      </c>
      <c r="R5" s="1" t="str">
        <f t="shared" si="0"/>
        <v>人民币</v>
      </c>
    </row>
    <row r="6" spans="1:18">
      <c r="A6" s="1" t="str">
        <f t="shared" si="1"/>
        <v>20180720</v>
      </c>
      <c r="D6" s="1" t="str">
        <f t="shared" si="2"/>
        <v>偿还融资利息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-54.3</v>
      </c>
      <c r="O6" s="1">
        <v>689.93</v>
      </c>
      <c r="P6" s="1">
        <v>0</v>
      </c>
      <c r="R6" s="1" t="str">
        <f t="shared" si="0"/>
        <v>人民币</v>
      </c>
    </row>
    <row r="7" spans="1:18">
      <c r="A7" s="1" t="str">
        <f t="shared" si="1"/>
        <v>20180720</v>
      </c>
      <c r="D7" s="1" t="str">
        <f t="shared" si="2"/>
        <v>偿还融资利息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-104.7</v>
      </c>
      <c r="O7" s="1">
        <v>585.23</v>
      </c>
      <c r="P7" s="1">
        <v>0</v>
      </c>
      <c r="R7" s="1" t="str">
        <f t="shared" si="0"/>
        <v>人民币</v>
      </c>
    </row>
    <row r="8" spans="1:18">
      <c r="A8" s="1" t="str">
        <f t="shared" si="1"/>
        <v>20180720</v>
      </c>
      <c r="D8" s="1" t="str">
        <f t="shared" si="2"/>
        <v>偿还融资利息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-22.5</v>
      </c>
      <c r="O8" s="1">
        <v>562.73</v>
      </c>
      <c r="P8" s="1">
        <v>0</v>
      </c>
      <c r="R8" s="1" t="str">
        <f t="shared" si="0"/>
        <v>人民币</v>
      </c>
    </row>
    <row r="9" spans="1:18">
      <c r="A9" s="1" t="str">
        <f t="shared" si="1"/>
        <v>20180720</v>
      </c>
      <c r="D9" s="1" t="str">
        <f t="shared" si="2"/>
        <v>偿还融资利息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-106.69</v>
      </c>
      <c r="O9" s="1">
        <v>456.04</v>
      </c>
      <c r="P9" s="1">
        <v>0</v>
      </c>
      <c r="R9" s="1" t="str">
        <f t="shared" si="0"/>
        <v>人民币</v>
      </c>
    </row>
    <row r="10" spans="1:18">
      <c r="A10" s="1" t="str">
        <f t="shared" si="1"/>
        <v>20180720</v>
      </c>
      <c r="D10" s="1" t="str">
        <f t="shared" si="2"/>
        <v>偿还融资利息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-106.69</v>
      </c>
      <c r="O10" s="1">
        <v>349.35</v>
      </c>
      <c r="P10" s="1">
        <v>0</v>
      </c>
      <c r="R10" s="1" t="str">
        <f t="shared" si="0"/>
        <v>人民币</v>
      </c>
    </row>
    <row r="11" spans="1:18">
      <c r="A11" s="1" t="str">
        <f>"20180806"</f>
        <v>20180806</v>
      </c>
      <c r="B11" s="1" t="str">
        <f>"600886"</f>
        <v>600886</v>
      </c>
      <c r="C11" s="1" t="str">
        <f>"国投电力"</f>
        <v>国投电力</v>
      </c>
      <c r="D11" s="1" t="str">
        <f>"红利入账"</f>
        <v>红利入账</v>
      </c>
      <c r="E11" s="1">
        <v>0</v>
      </c>
      <c r="F11" s="1">
        <v>18800</v>
      </c>
      <c r="G11" s="1">
        <v>3133.96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3133.96</v>
      </c>
      <c r="O11" s="1">
        <v>3483.31</v>
      </c>
      <c r="P11" s="1">
        <v>0</v>
      </c>
      <c r="Q11" s="1" t="str">
        <f>"E021635187"</f>
        <v>E021635187</v>
      </c>
      <c r="R11" s="1" t="str">
        <f t="shared" si="0"/>
        <v>人民币</v>
      </c>
    </row>
    <row r="12" spans="1:18">
      <c r="A12" s="1" t="str">
        <f>"20180807"</f>
        <v>20180807</v>
      </c>
      <c r="D12" s="1" t="str">
        <f t="shared" ref="D12:D17" si="3">"偿还融资利息"</f>
        <v>偿还融资利息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-72.73</v>
      </c>
      <c r="O12" s="1">
        <v>3410.58</v>
      </c>
      <c r="P12" s="1">
        <v>0</v>
      </c>
      <c r="R12" s="1" t="str">
        <f t="shared" si="0"/>
        <v>人民币</v>
      </c>
    </row>
    <row r="13" spans="1:18">
      <c r="A13" s="1" t="str">
        <f>"20180807"</f>
        <v>20180807</v>
      </c>
      <c r="D13" s="1" t="str">
        <f>"偿还融资负债本金"</f>
        <v>偿还融资负债本金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-3410.27</v>
      </c>
      <c r="O13" s="1">
        <v>0.31</v>
      </c>
      <c r="P13" s="1">
        <v>0</v>
      </c>
      <c r="R13" s="1" t="str">
        <f t="shared" si="0"/>
        <v>人民币</v>
      </c>
    </row>
    <row r="14" spans="1:18">
      <c r="A14" s="1" t="str">
        <f>"20180816"</f>
        <v>20180816</v>
      </c>
      <c r="B14" s="1" t="str">
        <f>"000601"</f>
        <v>000601</v>
      </c>
      <c r="C14" s="1" t="str">
        <f>"韶能股份"</f>
        <v>韶能股份</v>
      </c>
      <c r="D14" s="1" t="str">
        <f>"红利入账"</f>
        <v>红利入账</v>
      </c>
      <c r="E14" s="1">
        <v>0</v>
      </c>
      <c r="F14" s="1">
        <v>0</v>
      </c>
      <c r="G14" s="1">
        <v>1320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1320</v>
      </c>
      <c r="O14" s="1">
        <v>1320.31</v>
      </c>
      <c r="P14" s="1">
        <v>0</v>
      </c>
      <c r="Q14" s="1" t="str">
        <f>"0602175409"</f>
        <v>0602175409</v>
      </c>
      <c r="R14" s="1" t="str">
        <f t="shared" si="0"/>
        <v>人民币</v>
      </c>
    </row>
    <row r="15" spans="1:18">
      <c r="A15" s="1" t="str">
        <f>"20180817"</f>
        <v>20180817</v>
      </c>
      <c r="D15" s="1" t="str">
        <f t="shared" si="3"/>
        <v>偿还融资利息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-34.81</v>
      </c>
      <c r="O15" s="1">
        <v>1285.5</v>
      </c>
      <c r="P15" s="1">
        <v>0</v>
      </c>
      <c r="R15" s="1" t="str">
        <f t="shared" si="0"/>
        <v>人民币</v>
      </c>
    </row>
    <row r="16" spans="1:18">
      <c r="A16" s="1" t="str">
        <f>"20180817"</f>
        <v>20180817</v>
      </c>
      <c r="D16" s="1" t="str">
        <f>"偿还融资负债本金"</f>
        <v>偿还融资负债本金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-1285.19</v>
      </c>
      <c r="O16" s="1">
        <v>0.31</v>
      </c>
      <c r="P16" s="1">
        <v>0</v>
      </c>
      <c r="R16" s="1" t="str">
        <f t="shared" si="0"/>
        <v>人民币</v>
      </c>
    </row>
    <row r="17" spans="1:18">
      <c r="A17" s="1" t="str">
        <f>"20180820"</f>
        <v>20180820</v>
      </c>
      <c r="D17" s="1" t="str">
        <f t="shared" si="3"/>
        <v>偿还融资利息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-0.31</v>
      </c>
      <c r="O17" s="1">
        <v>0</v>
      </c>
      <c r="P17" s="1">
        <v>0</v>
      </c>
      <c r="R17" s="1" t="str">
        <f t="shared" si="0"/>
        <v>人民币</v>
      </c>
    </row>
    <row r="18" spans="1:19">
      <c r="A18" s="1" t="str">
        <f>"20180903"</f>
        <v>20180903</v>
      </c>
      <c r="B18" s="1" t="str">
        <f>"000601"</f>
        <v>000601</v>
      </c>
      <c r="C18" s="1" t="str">
        <f>"韶能股份"</f>
        <v>韶能股份</v>
      </c>
      <c r="D18" s="1" t="str">
        <f>"担保物转入"</f>
        <v>担保物转入</v>
      </c>
      <c r="E18" s="1">
        <v>7.457</v>
      </c>
      <c r="F18" s="1">
        <v>29000</v>
      </c>
      <c r="G18" s="1">
        <v>216253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35000</v>
      </c>
      <c r="Q18" s="1" t="str">
        <f>"0602175409"</f>
        <v>0602175409</v>
      </c>
      <c r="R18" s="1" t="str">
        <f t="shared" si="0"/>
        <v>人民币</v>
      </c>
      <c r="S18" s="1" t="str">
        <f>"T400012900"</f>
        <v>T400012900</v>
      </c>
    </row>
    <row r="19" spans="1:19">
      <c r="A19" s="1" t="str">
        <f>"20180904"</f>
        <v>20180904</v>
      </c>
      <c r="B19" s="1" t="str">
        <f>"600886"</f>
        <v>600886</v>
      </c>
      <c r="C19" s="1" t="str">
        <f>"国投电力"</f>
        <v>国投电力</v>
      </c>
      <c r="D19" s="1" t="str">
        <f>"担保品卖出"</f>
        <v>担保品卖出</v>
      </c>
      <c r="E19" s="1">
        <v>7.38</v>
      </c>
      <c r="F19" s="1">
        <v>14000</v>
      </c>
      <c r="G19" s="1">
        <v>103320</v>
      </c>
      <c r="H19" s="1">
        <v>32.03</v>
      </c>
      <c r="I19" s="1">
        <v>24.94</v>
      </c>
      <c r="J19" s="1">
        <v>103.33</v>
      </c>
      <c r="K19" s="1">
        <v>2.06</v>
      </c>
      <c r="L19" s="1">
        <v>0</v>
      </c>
      <c r="M19" s="1">
        <v>0</v>
      </c>
      <c r="N19" s="1">
        <v>103182.58</v>
      </c>
      <c r="O19" s="1">
        <v>103182.58</v>
      </c>
      <c r="P19" s="1">
        <v>4800</v>
      </c>
      <c r="Q19" s="1" t="str">
        <f>"E021635187"</f>
        <v>E021635187</v>
      </c>
      <c r="R19" s="1" t="str">
        <f t="shared" si="0"/>
        <v>人民币</v>
      </c>
      <c r="S19" s="1" t="str">
        <f>"0136000146"</f>
        <v>0136000146</v>
      </c>
    </row>
    <row r="20" spans="1:18">
      <c r="A20" s="1" t="str">
        <f t="shared" ref="A20:A22" si="4">"20180905"</f>
        <v>20180905</v>
      </c>
      <c r="D20" s="1" t="str">
        <f>"证券转银行"</f>
        <v>证券转银行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-100000</v>
      </c>
      <c r="O20" s="1">
        <v>3182.58</v>
      </c>
      <c r="P20" s="1">
        <v>0</v>
      </c>
      <c r="R20" s="1" t="str">
        <f t="shared" si="0"/>
        <v>人民币</v>
      </c>
    </row>
    <row r="21" spans="1:18">
      <c r="A21" s="1" t="str">
        <f t="shared" si="4"/>
        <v>20180905</v>
      </c>
      <c r="D21" s="1" t="str">
        <f>"偿还融资利息"</f>
        <v>偿还融资利息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-60.27</v>
      </c>
      <c r="O21" s="1">
        <v>3122.31</v>
      </c>
      <c r="P21" s="1">
        <v>0</v>
      </c>
      <c r="R21" s="1" t="str">
        <f t="shared" si="0"/>
        <v>人民币</v>
      </c>
    </row>
    <row r="22" spans="1:18">
      <c r="A22" s="1" t="str">
        <f t="shared" si="4"/>
        <v>20180905</v>
      </c>
      <c r="D22" s="1" t="str">
        <f>"偿还融资负债本金"</f>
        <v>偿还融资负债本金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-3122.31</v>
      </c>
      <c r="O22" s="1">
        <v>0</v>
      </c>
      <c r="P22" s="1">
        <v>0</v>
      </c>
      <c r="R22" s="1" t="str">
        <f t="shared" si="0"/>
        <v>人民币</v>
      </c>
    </row>
    <row r="23" spans="1:19">
      <c r="A23" s="1" t="str">
        <f>"20180917"</f>
        <v>20180917</v>
      </c>
      <c r="B23" s="1" t="str">
        <f>"000543"</f>
        <v>000543</v>
      </c>
      <c r="C23" s="1" t="str">
        <f>"皖能电力"</f>
        <v>皖能电力</v>
      </c>
      <c r="D23" s="1" t="str">
        <f>"融资买入"</f>
        <v>融资买入</v>
      </c>
      <c r="E23" s="1">
        <v>4.14</v>
      </c>
      <c r="F23" s="1">
        <v>5000</v>
      </c>
      <c r="G23" s="1">
        <v>20700</v>
      </c>
      <c r="H23" s="1">
        <v>10.35</v>
      </c>
      <c r="I23" s="1">
        <v>8.53</v>
      </c>
      <c r="J23" s="1">
        <v>0</v>
      </c>
      <c r="K23" s="1">
        <v>0</v>
      </c>
      <c r="L23" s="1">
        <v>0</v>
      </c>
      <c r="M23" s="1">
        <v>0</v>
      </c>
      <c r="N23" s="1">
        <v>-20710.35</v>
      </c>
      <c r="O23" s="1">
        <v>-20710.35</v>
      </c>
      <c r="P23" s="1">
        <v>20000</v>
      </c>
      <c r="Q23" s="1" t="str">
        <f>"0602175409"</f>
        <v>0602175409</v>
      </c>
      <c r="R23" s="1" t="str">
        <f t="shared" si="0"/>
        <v>人民币</v>
      </c>
      <c r="S23" s="1" t="str">
        <f>"T4000269"</f>
        <v>T4000269</v>
      </c>
    </row>
    <row r="24" spans="1:19">
      <c r="A24" s="1" t="str">
        <f>"20180917"</f>
        <v>20180917</v>
      </c>
      <c r="D24" s="1" t="str">
        <f>"融资借入"</f>
        <v>融资借入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20710.35</v>
      </c>
      <c r="O24" s="1">
        <v>0</v>
      </c>
      <c r="P24" s="1">
        <v>0</v>
      </c>
      <c r="R24" s="1" t="str">
        <f t="shared" si="0"/>
        <v>人民币</v>
      </c>
      <c r="S24" s="1" t="str">
        <f>"T4000269"</f>
        <v>T4000269</v>
      </c>
    </row>
    <row r="25" spans="1:18">
      <c r="A25" s="1" t="str">
        <f>"20180920"</f>
        <v>20180920</v>
      </c>
      <c r="D25" s="1" t="str">
        <f>"利息归本"</f>
        <v>利息归本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0.3</v>
      </c>
      <c r="O25" s="1">
        <v>0.3</v>
      </c>
      <c r="P25" s="1">
        <v>0</v>
      </c>
      <c r="R25" s="1" t="str">
        <f t="shared" si="0"/>
        <v>人民币</v>
      </c>
    </row>
    <row r="26" spans="1:18">
      <c r="A26" s="1" t="str">
        <f>"20180920"</f>
        <v>20180920</v>
      </c>
      <c r="D26" s="1" t="str">
        <f>"偿还融资利息"</f>
        <v>偿还融资利息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-0.3</v>
      </c>
      <c r="O26" s="1">
        <v>0</v>
      </c>
      <c r="P26" s="1">
        <v>0</v>
      </c>
      <c r="R26" s="1" t="str">
        <f t="shared" si="0"/>
        <v>人民币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4"/>
  <sheetViews>
    <sheetView topLeftCell="A40" workbookViewId="0">
      <selection activeCell="A2" sqref="A2:P54"/>
    </sheetView>
  </sheetViews>
  <sheetFormatPr defaultColWidth="9" defaultRowHeight="13.5"/>
  <cols>
    <col min="1" max="16384" width="9" style="1"/>
  </cols>
  <sheetData>
    <row r="1" spans="1:19">
      <c r="A1" s="1" t="str">
        <f>"交割日期"</f>
        <v>交割日期</v>
      </c>
      <c r="B1" s="1" t="str">
        <f>"证券代码"</f>
        <v>证券代码</v>
      </c>
      <c r="C1" s="1" t="str">
        <f>"证券名称"</f>
        <v>证券名称</v>
      </c>
      <c r="D1" s="1" t="str">
        <f>"业务名称"</f>
        <v>业务名称</v>
      </c>
      <c r="E1" s="1" t="str">
        <f>"成交价格"</f>
        <v>成交价格</v>
      </c>
      <c r="F1" s="1" t="str">
        <f>"成交数量"</f>
        <v>成交数量</v>
      </c>
      <c r="G1" s="1" t="str">
        <f>"成交金额"</f>
        <v>成交金额</v>
      </c>
      <c r="H1" s="1" t="str">
        <f>"手续费"</f>
        <v>手续费</v>
      </c>
      <c r="I1" s="1" t="str">
        <f>"净佣金"</f>
        <v>净佣金</v>
      </c>
      <c r="J1" s="1" t="str">
        <f>"印花税"</f>
        <v>印花税</v>
      </c>
      <c r="K1" s="1" t="str">
        <f>"过户费"</f>
        <v>过户费</v>
      </c>
      <c r="L1" s="1" t="str">
        <f>"结算费"</f>
        <v>结算费</v>
      </c>
      <c r="M1" s="1" t="str">
        <f>"其他费"</f>
        <v>其他费</v>
      </c>
      <c r="N1" s="1" t="str">
        <f>"发生金额"</f>
        <v>发生金额</v>
      </c>
      <c r="O1" s="1" t="str">
        <f>"剩余金额"</f>
        <v>剩余金额</v>
      </c>
      <c r="P1" s="1" t="str">
        <f>"证券数量"</f>
        <v>证券数量</v>
      </c>
      <c r="Q1" s="1" t="str">
        <f>"股东代码"</f>
        <v>股东代码</v>
      </c>
      <c r="R1" s="1" t="str">
        <f>"币种"</f>
        <v>币种</v>
      </c>
      <c r="S1" s="1" t="str">
        <f>"成交编号"</f>
        <v>成交编号</v>
      </c>
    </row>
    <row r="2" spans="1:19">
      <c r="A2" s="1" t="str">
        <f t="shared" ref="A2:A16" si="0">"20181116"</f>
        <v>20181116</v>
      </c>
      <c r="B2" s="1" t="str">
        <f>"000543"</f>
        <v>000543</v>
      </c>
      <c r="C2" s="1" t="str">
        <f>"皖能电力"</f>
        <v>皖能电力</v>
      </c>
      <c r="D2" s="1" t="str">
        <f>"卖券还款"</f>
        <v>卖券还款</v>
      </c>
      <c r="E2" s="1">
        <v>4.58</v>
      </c>
      <c r="F2" s="1">
        <v>5000</v>
      </c>
      <c r="G2" s="1">
        <v>22900</v>
      </c>
      <c r="H2" s="1">
        <v>11.45</v>
      </c>
      <c r="I2" s="1">
        <v>9.41</v>
      </c>
      <c r="J2" s="1">
        <v>22.91</v>
      </c>
      <c r="K2" s="1">
        <v>0</v>
      </c>
      <c r="L2" s="1">
        <v>0</v>
      </c>
      <c r="M2" s="1">
        <v>0</v>
      </c>
      <c r="N2" s="1">
        <v>22865.64</v>
      </c>
      <c r="O2" s="1">
        <v>22865.64</v>
      </c>
      <c r="P2" s="1">
        <v>15000</v>
      </c>
      <c r="Q2" s="1" t="str">
        <f>"0602175409"</f>
        <v>0602175409</v>
      </c>
      <c r="R2" s="1" t="str">
        <f t="shared" ref="R2:R54" si="1">"人民币"</f>
        <v>人民币</v>
      </c>
      <c r="S2" s="1" t="str">
        <f t="shared" ref="S2:S11" si="2">"T4000330"</f>
        <v>T4000330</v>
      </c>
    </row>
    <row r="3" spans="1:19">
      <c r="A3" s="1" t="str">
        <f t="shared" si="0"/>
        <v>20181116</v>
      </c>
      <c r="B3" s="1" t="str">
        <f>"002183"</f>
        <v>002183</v>
      </c>
      <c r="C3" s="1" t="str">
        <f>"怡 亚 通"</f>
        <v>怡 亚 通</v>
      </c>
      <c r="D3" s="1" t="str">
        <f>"融资买入"</f>
        <v>融资买入</v>
      </c>
      <c r="E3" s="1">
        <v>5.76</v>
      </c>
      <c r="F3" s="1">
        <v>2500</v>
      </c>
      <c r="G3" s="1">
        <v>14400</v>
      </c>
      <c r="H3" s="1">
        <v>7.2</v>
      </c>
      <c r="I3" s="1">
        <v>5.92</v>
      </c>
      <c r="J3" s="1">
        <v>0</v>
      </c>
      <c r="K3" s="1">
        <v>0</v>
      </c>
      <c r="L3" s="1">
        <v>0</v>
      </c>
      <c r="M3" s="1">
        <v>0</v>
      </c>
      <c r="N3" s="1">
        <v>-14407.2</v>
      </c>
      <c r="O3" s="1">
        <v>8458.44</v>
      </c>
      <c r="P3" s="1">
        <v>7500</v>
      </c>
      <c r="Q3" s="1" t="str">
        <f>"0602175409"</f>
        <v>0602175409</v>
      </c>
      <c r="R3" s="1" t="str">
        <f t="shared" si="1"/>
        <v>人民币</v>
      </c>
      <c r="S3" s="1" t="str">
        <f>"T4000420"</f>
        <v>T4000420</v>
      </c>
    </row>
    <row r="4" spans="1:19">
      <c r="A4" s="1" t="str">
        <f t="shared" si="0"/>
        <v>20181116</v>
      </c>
      <c r="B4" s="1" t="str">
        <f>"002183"</f>
        <v>002183</v>
      </c>
      <c r="C4" s="1" t="str">
        <f>"怡 亚 通"</f>
        <v>怡 亚 通</v>
      </c>
      <c r="D4" s="1" t="str">
        <f>"卖券还款"</f>
        <v>卖券还款</v>
      </c>
      <c r="E4" s="1">
        <v>5.83</v>
      </c>
      <c r="F4" s="1">
        <v>2500</v>
      </c>
      <c r="G4" s="1">
        <v>14575</v>
      </c>
      <c r="H4" s="1">
        <v>7.29</v>
      </c>
      <c r="I4" s="1">
        <v>6</v>
      </c>
      <c r="J4" s="1">
        <v>14.58</v>
      </c>
      <c r="K4" s="1">
        <v>0</v>
      </c>
      <c r="L4" s="1">
        <v>0</v>
      </c>
      <c r="M4" s="1">
        <v>0</v>
      </c>
      <c r="N4" s="1">
        <v>14553.13</v>
      </c>
      <c r="O4" s="1">
        <v>23011.57</v>
      </c>
      <c r="P4" s="1">
        <v>5000</v>
      </c>
      <c r="Q4" s="1" t="str">
        <f>"0602175409"</f>
        <v>0602175409</v>
      </c>
      <c r="R4" s="1" t="str">
        <f t="shared" si="1"/>
        <v>人民币</v>
      </c>
      <c r="S4" s="1" t="str">
        <f>"T4000595"</f>
        <v>T4000595</v>
      </c>
    </row>
    <row r="5" spans="1:19">
      <c r="A5" s="1" t="str">
        <f t="shared" si="0"/>
        <v>20181116</v>
      </c>
      <c r="D5" s="1" t="str">
        <f>"融资借入"</f>
        <v>融资借入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14407.2</v>
      </c>
      <c r="O5" s="1">
        <v>37418.77</v>
      </c>
      <c r="P5" s="1">
        <v>0</v>
      </c>
      <c r="R5" s="1" t="str">
        <f t="shared" si="1"/>
        <v>人民币</v>
      </c>
      <c r="S5" s="1" t="str">
        <f>"T4000420"</f>
        <v>T4000420</v>
      </c>
    </row>
    <row r="6" spans="1:19">
      <c r="A6" s="1" t="str">
        <f t="shared" si="0"/>
        <v>20181116</v>
      </c>
      <c r="D6" s="1" t="str">
        <f t="shared" ref="D6:D10" si="3">"偿还融资利息"</f>
        <v>偿还融资利息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-212.39</v>
      </c>
      <c r="O6" s="1">
        <v>37206.38</v>
      </c>
      <c r="P6" s="1">
        <v>0</v>
      </c>
      <c r="R6" s="1" t="str">
        <f t="shared" si="1"/>
        <v>人民币</v>
      </c>
      <c r="S6" s="1" t="str">
        <f t="shared" si="2"/>
        <v>T4000330</v>
      </c>
    </row>
    <row r="7" spans="1:19">
      <c r="A7" s="1" t="str">
        <f t="shared" si="0"/>
        <v>20181116</v>
      </c>
      <c r="D7" s="1" t="str">
        <f t="shared" ref="D7:D12" si="4">"偿还融资负债本金"</f>
        <v>偿还融资负债本金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-7755</v>
      </c>
      <c r="O7" s="1">
        <v>29451.38</v>
      </c>
      <c r="P7" s="1">
        <v>0</v>
      </c>
      <c r="R7" s="1" t="str">
        <f t="shared" si="1"/>
        <v>人民币</v>
      </c>
      <c r="S7" s="1" t="str">
        <f t="shared" si="2"/>
        <v>T4000330</v>
      </c>
    </row>
    <row r="8" spans="1:19">
      <c r="A8" s="1" t="str">
        <f t="shared" si="0"/>
        <v>20181116</v>
      </c>
      <c r="D8" s="1" t="str">
        <f t="shared" si="3"/>
        <v>偿还融资利息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-213.55</v>
      </c>
      <c r="O8" s="1">
        <v>29237.83</v>
      </c>
      <c r="P8" s="1">
        <v>0</v>
      </c>
      <c r="R8" s="1" t="str">
        <f t="shared" si="1"/>
        <v>人民币</v>
      </c>
      <c r="S8" s="1" t="str">
        <f t="shared" si="2"/>
        <v>T4000330</v>
      </c>
    </row>
    <row r="9" spans="1:19">
      <c r="A9" s="1" t="str">
        <f t="shared" si="0"/>
        <v>20181116</v>
      </c>
      <c r="D9" s="1" t="str">
        <f t="shared" si="4"/>
        <v>偿还融资负债本金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-7795</v>
      </c>
      <c r="O9" s="1">
        <v>21442.83</v>
      </c>
      <c r="P9" s="1">
        <v>0</v>
      </c>
      <c r="R9" s="1" t="str">
        <f t="shared" si="1"/>
        <v>人民币</v>
      </c>
      <c r="S9" s="1" t="str">
        <f t="shared" si="2"/>
        <v>T4000330</v>
      </c>
    </row>
    <row r="10" spans="1:19">
      <c r="A10" s="1" t="str">
        <f t="shared" si="0"/>
        <v>20181116</v>
      </c>
      <c r="D10" s="1" t="str">
        <f t="shared" si="3"/>
        <v>偿还融资利息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-411.79</v>
      </c>
      <c r="O10" s="1">
        <v>21031.04</v>
      </c>
      <c r="P10" s="1">
        <v>0</v>
      </c>
      <c r="R10" s="1" t="str">
        <f t="shared" si="1"/>
        <v>人民币</v>
      </c>
      <c r="S10" s="1" t="str">
        <f t="shared" si="2"/>
        <v>T4000330</v>
      </c>
    </row>
    <row r="11" spans="1:19">
      <c r="A11" s="1" t="str">
        <f t="shared" si="0"/>
        <v>20181116</v>
      </c>
      <c r="D11" s="1" t="str">
        <f t="shared" si="4"/>
        <v>偿还融资负债本金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-6420.57</v>
      </c>
      <c r="O11" s="1">
        <v>14610.47</v>
      </c>
      <c r="P11" s="1">
        <v>0</v>
      </c>
      <c r="R11" s="1" t="str">
        <f t="shared" si="1"/>
        <v>人民币</v>
      </c>
      <c r="S11" s="1" t="str">
        <f t="shared" si="2"/>
        <v>T4000330</v>
      </c>
    </row>
    <row r="12" spans="1:19">
      <c r="A12" s="1" t="str">
        <f t="shared" si="0"/>
        <v>20181116</v>
      </c>
      <c r="D12" s="1" t="str">
        <f t="shared" si="4"/>
        <v>偿还融资负债本金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-8616.95</v>
      </c>
      <c r="O12" s="1">
        <v>5993.52</v>
      </c>
      <c r="P12" s="1">
        <v>0</v>
      </c>
      <c r="R12" s="1" t="str">
        <f t="shared" si="1"/>
        <v>人民币</v>
      </c>
      <c r="S12" s="1" t="str">
        <f t="shared" ref="S12:S16" si="5">"T4000595"</f>
        <v>T4000595</v>
      </c>
    </row>
    <row r="13" spans="1:19">
      <c r="A13" s="1" t="str">
        <f t="shared" si="0"/>
        <v>20181116</v>
      </c>
      <c r="D13" s="1" t="str">
        <f>"偿还融资利息"</f>
        <v>偿还融资利息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-88.5</v>
      </c>
      <c r="O13" s="1">
        <v>5905.02</v>
      </c>
      <c r="P13" s="1">
        <v>0</v>
      </c>
      <c r="R13" s="1" t="str">
        <f t="shared" si="1"/>
        <v>人民币</v>
      </c>
      <c r="S13" s="1" t="str">
        <f t="shared" si="5"/>
        <v>T4000595</v>
      </c>
    </row>
    <row r="14" spans="1:19">
      <c r="A14" s="1" t="str">
        <f t="shared" si="0"/>
        <v>20181116</v>
      </c>
      <c r="D14" s="1" t="str">
        <f>"偿还融资负债本金"</f>
        <v>偿还融资负债本金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-3232.34</v>
      </c>
      <c r="O14" s="1">
        <v>2672.68</v>
      </c>
      <c r="P14" s="1">
        <v>0</v>
      </c>
      <c r="R14" s="1" t="str">
        <f t="shared" si="1"/>
        <v>人民币</v>
      </c>
      <c r="S14" s="1" t="str">
        <f t="shared" si="5"/>
        <v>T4000595</v>
      </c>
    </row>
    <row r="15" spans="1:19">
      <c r="A15" s="1" t="str">
        <f t="shared" si="0"/>
        <v>20181116</v>
      </c>
      <c r="D15" s="1" t="str">
        <f>"偿还融资利息"</f>
        <v>偿还融资利息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-418.9</v>
      </c>
      <c r="O15" s="1">
        <v>2253.78</v>
      </c>
      <c r="P15" s="1">
        <v>0</v>
      </c>
      <c r="R15" s="1" t="str">
        <f t="shared" si="1"/>
        <v>人民币</v>
      </c>
      <c r="S15" s="1" t="str">
        <f t="shared" si="5"/>
        <v>T4000595</v>
      </c>
    </row>
    <row r="16" spans="1:19">
      <c r="A16" s="1" t="str">
        <f t="shared" si="0"/>
        <v>20181116</v>
      </c>
      <c r="D16" s="1" t="str">
        <f>"偿还融资负债本金"</f>
        <v>偿还融资负债本金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-2160</v>
      </c>
      <c r="O16" s="1">
        <v>93.78</v>
      </c>
      <c r="P16" s="1">
        <v>0</v>
      </c>
      <c r="R16" s="1" t="str">
        <f t="shared" si="1"/>
        <v>人民币</v>
      </c>
      <c r="S16" s="1" t="str">
        <f t="shared" si="5"/>
        <v>T4000595</v>
      </c>
    </row>
    <row r="17" spans="1:18">
      <c r="A17" s="1" t="str">
        <f t="shared" ref="A17:A19" si="6">"20181119"</f>
        <v>20181119</v>
      </c>
      <c r="B17" s="1" t="str">
        <f>"000543"</f>
        <v>000543</v>
      </c>
      <c r="C17" s="1" t="str">
        <f>"皖能电力"</f>
        <v>皖能电力</v>
      </c>
      <c r="D17" s="1" t="str">
        <f>"股息红利差异扣税"</f>
        <v>股息红利差异扣税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-5</v>
      </c>
      <c r="O17" s="1">
        <v>88.78</v>
      </c>
      <c r="P17" s="1">
        <v>0</v>
      </c>
      <c r="Q17" s="1" t="str">
        <f t="shared" ref="Q17:Q23" si="7">"0602175409"</f>
        <v>0602175409</v>
      </c>
      <c r="R17" s="1" t="str">
        <f t="shared" si="1"/>
        <v>人民币</v>
      </c>
    </row>
    <row r="18" spans="1:19">
      <c r="A18" s="1" t="str">
        <f t="shared" si="6"/>
        <v>20181119</v>
      </c>
      <c r="B18" s="1" t="str">
        <f>"000768"</f>
        <v>000768</v>
      </c>
      <c r="C18" s="1" t="str">
        <f>"中航飞机"</f>
        <v>中航飞机</v>
      </c>
      <c r="D18" s="1" t="str">
        <f>"融资买入"</f>
        <v>融资买入</v>
      </c>
      <c r="E18" s="1">
        <v>15.59</v>
      </c>
      <c r="F18" s="1">
        <v>1000</v>
      </c>
      <c r="G18" s="1">
        <v>15590</v>
      </c>
      <c r="H18" s="1">
        <v>7.8</v>
      </c>
      <c r="I18" s="1">
        <v>6.42</v>
      </c>
      <c r="J18" s="1">
        <v>0</v>
      </c>
      <c r="K18" s="1">
        <v>0</v>
      </c>
      <c r="L18" s="1">
        <v>0</v>
      </c>
      <c r="M18" s="1">
        <v>0</v>
      </c>
      <c r="N18" s="1">
        <v>-15597.8</v>
      </c>
      <c r="O18" s="1">
        <v>-15509.02</v>
      </c>
      <c r="P18" s="1">
        <v>1000</v>
      </c>
      <c r="Q18" s="1" t="str">
        <f t="shared" si="7"/>
        <v>0602175409</v>
      </c>
      <c r="R18" s="1" t="str">
        <f t="shared" si="1"/>
        <v>人民币</v>
      </c>
      <c r="S18" s="1" t="str">
        <f>"T4000083"</f>
        <v>T4000083</v>
      </c>
    </row>
    <row r="19" spans="1:19">
      <c r="A19" s="1" t="str">
        <f t="shared" si="6"/>
        <v>20181119</v>
      </c>
      <c r="D19" s="1" t="str">
        <f>"融资借入"</f>
        <v>融资借入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15597.8</v>
      </c>
      <c r="O19" s="1">
        <v>88.78</v>
      </c>
      <c r="P19" s="1">
        <v>0</v>
      </c>
      <c r="R19" s="1" t="str">
        <f t="shared" si="1"/>
        <v>人民币</v>
      </c>
      <c r="S19" s="1" t="str">
        <f>"T4000083"</f>
        <v>T4000083</v>
      </c>
    </row>
    <row r="20" spans="1:18">
      <c r="A20" s="1" t="str">
        <f>"20181120"</f>
        <v>20181120</v>
      </c>
      <c r="D20" s="1" t="str">
        <f t="shared" ref="D20:D25" si="8">"偿还融资利息"</f>
        <v>偿还融资利息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-15.25</v>
      </c>
      <c r="O20" s="1">
        <v>73.53</v>
      </c>
      <c r="P20" s="1">
        <v>0</v>
      </c>
      <c r="R20" s="1" t="str">
        <f t="shared" si="1"/>
        <v>人民币</v>
      </c>
    </row>
    <row r="21" spans="1:18">
      <c r="A21" s="1" t="str">
        <f>"20181120"</f>
        <v>20181120</v>
      </c>
      <c r="D21" s="1" t="str">
        <f t="shared" si="8"/>
        <v>偿还融资利息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-73.53</v>
      </c>
      <c r="O21" s="1">
        <v>0</v>
      </c>
      <c r="P21" s="1">
        <v>0</v>
      </c>
      <c r="R21" s="1" t="str">
        <f t="shared" si="1"/>
        <v>人民币</v>
      </c>
    </row>
    <row r="22" spans="1:19">
      <c r="A22" s="1" t="str">
        <f t="shared" ref="A22:A28" si="9">"20181122"</f>
        <v>20181122</v>
      </c>
      <c r="B22" s="1" t="str">
        <f>"002183"</f>
        <v>002183</v>
      </c>
      <c r="C22" s="1" t="str">
        <f>"怡 亚 通"</f>
        <v>怡 亚 通</v>
      </c>
      <c r="D22" s="1" t="str">
        <f>"融资买入"</f>
        <v>融资买入</v>
      </c>
      <c r="E22" s="1">
        <v>5.63</v>
      </c>
      <c r="F22" s="1">
        <v>2500</v>
      </c>
      <c r="G22" s="1">
        <v>14075</v>
      </c>
      <c r="H22" s="1">
        <v>7.04</v>
      </c>
      <c r="I22" s="1">
        <v>5.79</v>
      </c>
      <c r="J22" s="1">
        <v>0</v>
      </c>
      <c r="K22" s="1">
        <v>0</v>
      </c>
      <c r="L22" s="1">
        <v>0</v>
      </c>
      <c r="M22" s="1">
        <v>0</v>
      </c>
      <c r="N22" s="1">
        <v>-14082.04</v>
      </c>
      <c r="O22" s="1">
        <v>-14082.04</v>
      </c>
      <c r="P22" s="1">
        <v>7500</v>
      </c>
      <c r="Q22" s="1" t="str">
        <f t="shared" si="7"/>
        <v>0602175409</v>
      </c>
      <c r="R22" s="1" t="str">
        <f t="shared" si="1"/>
        <v>人民币</v>
      </c>
      <c r="S22" s="1" t="str">
        <f>"T4000658"</f>
        <v>T4000658</v>
      </c>
    </row>
    <row r="23" spans="1:19">
      <c r="A23" s="1" t="str">
        <f t="shared" si="9"/>
        <v>20181122</v>
      </c>
      <c r="B23" s="1" t="str">
        <f>"000768"</f>
        <v>000768</v>
      </c>
      <c r="C23" s="1" t="str">
        <f>"中航飞机"</f>
        <v>中航飞机</v>
      </c>
      <c r="D23" s="1" t="str">
        <f>"卖券还款"</f>
        <v>卖券还款</v>
      </c>
      <c r="E23" s="1">
        <v>15.7</v>
      </c>
      <c r="F23" s="1">
        <v>1000</v>
      </c>
      <c r="G23" s="1">
        <v>15700</v>
      </c>
      <c r="H23" s="1">
        <v>7.85</v>
      </c>
      <c r="I23" s="1">
        <v>6.46</v>
      </c>
      <c r="J23" s="1">
        <v>15.7</v>
      </c>
      <c r="K23" s="1">
        <v>0</v>
      </c>
      <c r="L23" s="1">
        <v>0</v>
      </c>
      <c r="M23" s="1">
        <v>0</v>
      </c>
      <c r="N23" s="1">
        <v>15676.45</v>
      </c>
      <c r="O23" s="1">
        <v>1594.41</v>
      </c>
      <c r="P23" s="1">
        <v>0</v>
      </c>
      <c r="Q23" s="1" t="str">
        <f t="shared" si="7"/>
        <v>0602175409</v>
      </c>
      <c r="R23" s="1" t="str">
        <f t="shared" si="1"/>
        <v>人民币</v>
      </c>
      <c r="S23" s="1" t="str">
        <f t="shared" ref="S23:S28" si="10">"T4000725"</f>
        <v>T4000725</v>
      </c>
    </row>
    <row r="24" spans="1:19">
      <c r="A24" s="1" t="str">
        <f t="shared" si="9"/>
        <v>20181122</v>
      </c>
      <c r="D24" s="1" t="str">
        <f>"融资借入"</f>
        <v>融资借入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14082.04</v>
      </c>
      <c r="O24" s="1">
        <v>15676.45</v>
      </c>
      <c r="P24" s="1">
        <v>0</v>
      </c>
      <c r="R24" s="1" t="str">
        <f t="shared" si="1"/>
        <v>人民币</v>
      </c>
      <c r="S24" s="1" t="str">
        <f>"T4000658"</f>
        <v>T4000658</v>
      </c>
    </row>
    <row r="25" spans="1:19">
      <c r="A25" s="1" t="str">
        <f t="shared" si="9"/>
        <v>20181122</v>
      </c>
      <c r="D25" s="1" t="str">
        <f t="shared" si="8"/>
        <v>偿还融资利息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-3.05</v>
      </c>
      <c r="O25" s="1">
        <v>15673.4</v>
      </c>
      <c r="P25" s="1">
        <v>0</v>
      </c>
      <c r="R25" s="1" t="str">
        <f t="shared" si="1"/>
        <v>人民币</v>
      </c>
      <c r="S25" s="1" t="str">
        <f t="shared" si="10"/>
        <v>T4000725</v>
      </c>
    </row>
    <row r="26" spans="1:19">
      <c r="A26" s="1" t="str">
        <f t="shared" si="9"/>
        <v>20181122</v>
      </c>
      <c r="D26" s="1" t="str">
        <f>"偿还融资负债本金"</f>
        <v>偿还融资负债本金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-13147.65</v>
      </c>
      <c r="O26" s="1">
        <v>2525.75</v>
      </c>
      <c r="P26" s="1">
        <v>0</v>
      </c>
      <c r="R26" s="1" t="str">
        <f t="shared" si="1"/>
        <v>人民币</v>
      </c>
      <c r="S26" s="1" t="str">
        <f t="shared" si="10"/>
        <v>T4000725</v>
      </c>
    </row>
    <row r="27" spans="1:19">
      <c r="A27" s="1" t="str">
        <f t="shared" si="9"/>
        <v>20181122</v>
      </c>
      <c r="D27" s="1" t="str">
        <f>"偿还融资利息"</f>
        <v>偿还融资利息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-366.67</v>
      </c>
      <c r="O27" s="1">
        <v>2159.08</v>
      </c>
      <c r="P27" s="1">
        <v>0</v>
      </c>
      <c r="R27" s="1" t="str">
        <f t="shared" si="1"/>
        <v>人民币</v>
      </c>
      <c r="S27" s="1" t="str">
        <f t="shared" si="10"/>
        <v>T4000725</v>
      </c>
    </row>
    <row r="28" spans="1:19">
      <c r="A28" s="1" t="str">
        <f t="shared" si="9"/>
        <v>20181122</v>
      </c>
      <c r="D28" s="1" t="str">
        <f>"偿还融资负债本金"</f>
        <v>偿还融资负债本金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-2119.73</v>
      </c>
      <c r="O28" s="1">
        <v>39.35</v>
      </c>
      <c r="P28" s="1">
        <v>0</v>
      </c>
      <c r="R28" s="1" t="str">
        <f t="shared" si="1"/>
        <v>人民币</v>
      </c>
      <c r="S28" s="1" t="str">
        <f t="shared" si="10"/>
        <v>T4000725</v>
      </c>
    </row>
    <row r="29" spans="1:19">
      <c r="A29" s="1" t="str">
        <f t="shared" ref="A29:A43" si="11">"20181128"</f>
        <v>20181128</v>
      </c>
      <c r="B29" s="1" t="str">
        <f t="shared" ref="B29:B32" si="12">"002183"</f>
        <v>002183</v>
      </c>
      <c r="C29" s="1" t="str">
        <f t="shared" ref="C29:C32" si="13">"怡 亚 通"</f>
        <v>怡 亚 通</v>
      </c>
      <c r="D29" s="1" t="str">
        <f>"卖券还款"</f>
        <v>卖券还款</v>
      </c>
      <c r="E29" s="1">
        <v>5.24</v>
      </c>
      <c r="F29" s="1">
        <v>5000</v>
      </c>
      <c r="G29" s="1">
        <v>26200</v>
      </c>
      <c r="H29" s="1">
        <v>13.1</v>
      </c>
      <c r="I29" s="1">
        <v>10.78</v>
      </c>
      <c r="J29" s="1">
        <v>26.2</v>
      </c>
      <c r="K29" s="1">
        <v>0</v>
      </c>
      <c r="L29" s="1">
        <v>0</v>
      </c>
      <c r="M29" s="1">
        <v>0</v>
      </c>
      <c r="N29" s="1">
        <v>26160.7</v>
      </c>
      <c r="O29" s="1">
        <v>26200.05</v>
      </c>
      <c r="P29" s="1">
        <v>2500</v>
      </c>
      <c r="Q29" s="1" t="str">
        <f t="shared" ref="Q29:Q32" si="14">"0602175409"</f>
        <v>0602175409</v>
      </c>
      <c r="R29" s="1" t="str">
        <f t="shared" si="1"/>
        <v>人民币</v>
      </c>
      <c r="S29" s="1" t="str">
        <f>"T4000113"</f>
        <v>T4000113</v>
      </c>
    </row>
    <row r="30" spans="1:19">
      <c r="A30" s="1" t="str">
        <f t="shared" si="11"/>
        <v>20181128</v>
      </c>
      <c r="B30" s="1" t="str">
        <f>"000543"</f>
        <v>000543</v>
      </c>
      <c r="C30" s="1" t="str">
        <f>"皖能电力"</f>
        <v>皖能电力</v>
      </c>
      <c r="D30" s="1" t="str">
        <f>"卖券还款"</f>
        <v>卖券还款</v>
      </c>
      <c r="E30" s="1">
        <v>4.5</v>
      </c>
      <c r="F30" s="1">
        <v>5000</v>
      </c>
      <c r="G30" s="1">
        <v>22500</v>
      </c>
      <c r="H30" s="1">
        <v>11.25</v>
      </c>
      <c r="I30" s="1">
        <v>9.24</v>
      </c>
      <c r="J30" s="1">
        <v>22.5</v>
      </c>
      <c r="K30" s="1">
        <v>0</v>
      </c>
      <c r="L30" s="1">
        <v>0</v>
      </c>
      <c r="M30" s="1">
        <v>0</v>
      </c>
      <c r="N30" s="1">
        <v>22466.25</v>
      </c>
      <c r="O30" s="1">
        <v>48666.3</v>
      </c>
      <c r="P30" s="1">
        <v>10000</v>
      </c>
      <c r="Q30" s="1" t="str">
        <f t="shared" si="14"/>
        <v>0602175409</v>
      </c>
      <c r="R30" s="1" t="str">
        <f t="shared" si="1"/>
        <v>人民币</v>
      </c>
      <c r="S30" s="1" t="str">
        <f>"T4000117"</f>
        <v>T4000117</v>
      </c>
    </row>
    <row r="31" spans="1:19">
      <c r="A31" s="1" t="str">
        <f t="shared" si="11"/>
        <v>20181128</v>
      </c>
      <c r="B31" s="1" t="str">
        <f t="shared" si="12"/>
        <v>002183</v>
      </c>
      <c r="C31" s="1" t="str">
        <f t="shared" si="13"/>
        <v>怡 亚 通</v>
      </c>
      <c r="D31" s="1" t="str">
        <f>"融资买入"</f>
        <v>融资买入</v>
      </c>
      <c r="E31" s="1">
        <v>5.28</v>
      </c>
      <c r="F31" s="1">
        <v>5000</v>
      </c>
      <c r="G31" s="1">
        <v>26400</v>
      </c>
      <c r="H31" s="1">
        <v>13.2</v>
      </c>
      <c r="I31" s="1">
        <v>10.85</v>
      </c>
      <c r="J31" s="1">
        <v>0</v>
      </c>
      <c r="K31" s="1">
        <v>0</v>
      </c>
      <c r="L31" s="1">
        <v>0</v>
      </c>
      <c r="M31" s="1">
        <v>0</v>
      </c>
      <c r="N31" s="1">
        <v>-26413.2</v>
      </c>
      <c r="O31" s="1">
        <v>22253.1</v>
      </c>
      <c r="P31" s="1">
        <v>7500</v>
      </c>
      <c r="Q31" s="1" t="str">
        <f t="shared" si="14"/>
        <v>0602175409</v>
      </c>
      <c r="R31" s="1" t="str">
        <f t="shared" si="1"/>
        <v>人民币</v>
      </c>
      <c r="S31" s="1" t="str">
        <f>"T4000249"</f>
        <v>T4000249</v>
      </c>
    </row>
    <row r="32" spans="1:19">
      <c r="A32" s="1" t="str">
        <f t="shared" si="11"/>
        <v>20181128</v>
      </c>
      <c r="B32" s="1" t="str">
        <f t="shared" si="12"/>
        <v>002183</v>
      </c>
      <c r="C32" s="1" t="str">
        <f t="shared" si="13"/>
        <v>怡 亚 通</v>
      </c>
      <c r="D32" s="1" t="str">
        <f>"融资买入"</f>
        <v>融资买入</v>
      </c>
      <c r="E32" s="1">
        <v>5.29</v>
      </c>
      <c r="F32" s="1">
        <v>2500</v>
      </c>
      <c r="G32" s="1">
        <v>13225</v>
      </c>
      <c r="H32" s="1">
        <v>6.61</v>
      </c>
      <c r="I32" s="1">
        <v>5.44</v>
      </c>
      <c r="J32" s="1">
        <v>0</v>
      </c>
      <c r="K32" s="1">
        <v>0</v>
      </c>
      <c r="L32" s="1">
        <v>0</v>
      </c>
      <c r="M32" s="1">
        <v>0</v>
      </c>
      <c r="N32" s="1">
        <v>-13231.61</v>
      </c>
      <c r="O32" s="1">
        <v>9021.49</v>
      </c>
      <c r="P32" s="1">
        <v>10000</v>
      </c>
      <c r="Q32" s="1" t="str">
        <f t="shared" si="14"/>
        <v>0602175409</v>
      </c>
      <c r="R32" s="1" t="str">
        <f t="shared" si="1"/>
        <v>人民币</v>
      </c>
      <c r="S32" s="1" t="str">
        <f>"T4000251"</f>
        <v>T4000251</v>
      </c>
    </row>
    <row r="33" spans="1:19">
      <c r="A33" s="1" t="str">
        <f t="shared" si="11"/>
        <v>20181128</v>
      </c>
      <c r="D33" s="1" t="str">
        <f>"融资借入"</f>
        <v>融资借入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26413.2</v>
      </c>
      <c r="O33" s="1">
        <v>35434.69</v>
      </c>
      <c r="P33" s="1">
        <v>0</v>
      </c>
      <c r="R33" s="1" t="str">
        <f t="shared" si="1"/>
        <v>人民币</v>
      </c>
      <c r="S33" s="1" t="str">
        <f>"T4000249"</f>
        <v>T4000249</v>
      </c>
    </row>
    <row r="34" spans="1:19">
      <c r="A34" s="1" t="str">
        <f t="shared" si="11"/>
        <v>20181128</v>
      </c>
      <c r="D34" s="1" t="str">
        <f>"融资借入"</f>
        <v>融资借入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13231.61</v>
      </c>
      <c r="O34" s="1">
        <v>48666.3</v>
      </c>
      <c r="P34" s="1">
        <v>0</v>
      </c>
      <c r="R34" s="1" t="str">
        <f t="shared" si="1"/>
        <v>人民币</v>
      </c>
      <c r="S34" s="1" t="str">
        <f>"T4000251"</f>
        <v>T4000251</v>
      </c>
    </row>
    <row r="35" spans="1:19">
      <c r="A35" s="1" t="str">
        <f t="shared" si="11"/>
        <v>20181128</v>
      </c>
      <c r="D35" s="1" t="str">
        <f t="shared" ref="D35:D40" si="15">"偿还融资利息"</f>
        <v>偿还融资利息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-18.36</v>
      </c>
      <c r="O35" s="1">
        <v>48647.94</v>
      </c>
      <c r="P35" s="1">
        <v>0</v>
      </c>
      <c r="R35" s="1" t="str">
        <f t="shared" si="1"/>
        <v>人民币</v>
      </c>
      <c r="S35" s="1" t="str">
        <f t="shared" ref="S35:S38" si="16">"T4000113"</f>
        <v>T4000113</v>
      </c>
    </row>
    <row r="36" spans="1:19">
      <c r="A36" s="1" t="str">
        <f t="shared" si="11"/>
        <v>20181128</v>
      </c>
      <c r="D36" s="1" t="str">
        <f t="shared" ref="D36:D39" si="17">"偿还融资负债本金"</f>
        <v>偿还融资负债本金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-13187.92</v>
      </c>
      <c r="O36" s="1">
        <v>35460.02</v>
      </c>
      <c r="P36" s="1">
        <v>0</v>
      </c>
      <c r="R36" s="1" t="str">
        <f t="shared" si="1"/>
        <v>人民币</v>
      </c>
      <c r="S36" s="1" t="str">
        <f t="shared" si="16"/>
        <v>T4000113</v>
      </c>
    </row>
    <row r="37" spans="1:19">
      <c r="A37" s="1" t="str">
        <f t="shared" si="11"/>
        <v>20181128</v>
      </c>
      <c r="D37" s="1" t="str">
        <f t="shared" si="15"/>
        <v>偿还融资利息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-345.71</v>
      </c>
      <c r="O37" s="1">
        <v>35114.31</v>
      </c>
      <c r="P37" s="1">
        <v>0</v>
      </c>
      <c r="R37" s="1" t="str">
        <f t="shared" si="1"/>
        <v>人民币</v>
      </c>
      <c r="S37" s="1" t="str">
        <f t="shared" si="16"/>
        <v>T4000113</v>
      </c>
    </row>
    <row r="38" spans="1:19">
      <c r="A38" s="1" t="str">
        <f t="shared" si="11"/>
        <v>20181128</v>
      </c>
      <c r="D38" s="1" t="str">
        <f t="shared" si="17"/>
        <v>偿还融资负债本金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-12543.21</v>
      </c>
      <c r="O38" s="1">
        <v>22571.1</v>
      </c>
      <c r="P38" s="1">
        <v>0</v>
      </c>
      <c r="R38" s="1" t="str">
        <f t="shared" si="1"/>
        <v>人民币</v>
      </c>
      <c r="S38" s="1" t="str">
        <f t="shared" si="16"/>
        <v>T4000113</v>
      </c>
    </row>
    <row r="39" spans="1:19">
      <c r="A39" s="1" t="str">
        <f t="shared" si="11"/>
        <v>20181128</v>
      </c>
      <c r="D39" s="1" t="str">
        <f t="shared" si="17"/>
        <v>偿还融资负债本金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-8167.14</v>
      </c>
      <c r="O39" s="1">
        <v>14403.96</v>
      </c>
      <c r="P39" s="1">
        <v>0</v>
      </c>
      <c r="R39" s="1" t="str">
        <f t="shared" si="1"/>
        <v>人民币</v>
      </c>
      <c r="S39" s="1" t="str">
        <f t="shared" ref="S39:S43" si="18">"T4000117"</f>
        <v>T4000117</v>
      </c>
    </row>
    <row r="40" spans="1:19">
      <c r="A40" s="1" t="str">
        <f t="shared" si="11"/>
        <v>20181128</v>
      </c>
      <c r="D40" s="1" t="str">
        <f t="shared" si="15"/>
        <v>偿还融资利息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-207.07</v>
      </c>
      <c r="O40" s="1">
        <v>14196.89</v>
      </c>
      <c r="P40" s="1">
        <v>0</v>
      </c>
      <c r="R40" s="1" t="str">
        <f t="shared" si="1"/>
        <v>人民币</v>
      </c>
      <c r="S40" s="1" t="str">
        <f t="shared" si="18"/>
        <v>T4000117</v>
      </c>
    </row>
    <row r="41" spans="1:19">
      <c r="A41" s="1" t="str">
        <f t="shared" si="11"/>
        <v>20181128</v>
      </c>
      <c r="D41" s="1" t="str">
        <f t="shared" ref="D41:D46" si="19">"偿还融资负债本金"</f>
        <v>偿还融资负债本金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-10616.44</v>
      </c>
      <c r="O41" s="1">
        <v>3580.45</v>
      </c>
      <c r="P41" s="1">
        <v>0</v>
      </c>
      <c r="R41" s="1" t="str">
        <f t="shared" si="1"/>
        <v>人民币</v>
      </c>
      <c r="S41" s="1" t="str">
        <f t="shared" si="18"/>
        <v>T4000117</v>
      </c>
    </row>
    <row r="42" spans="1:19">
      <c r="A42" s="1" t="str">
        <f t="shared" si="11"/>
        <v>20181128</v>
      </c>
      <c r="D42" s="1" t="str">
        <f>"偿还融资利息"</f>
        <v>偿还融资利息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-40.08</v>
      </c>
      <c r="O42" s="1">
        <v>3540.37</v>
      </c>
      <c r="P42" s="1">
        <v>0</v>
      </c>
      <c r="R42" s="1" t="str">
        <f t="shared" si="1"/>
        <v>人民币</v>
      </c>
      <c r="S42" s="1" t="str">
        <f t="shared" si="18"/>
        <v>T4000117</v>
      </c>
    </row>
    <row r="43" spans="1:19">
      <c r="A43" s="1" t="str">
        <f t="shared" si="11"/>
        <v>20181128</v>
      </c>
      <c r="D43" s="1" t="str">
        <f t="shared" si="19"/>
        <v>偿还融资负债本金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-3379.27</v>
      </c>
      <c r="O43" s="1">
        <v>161.1</v>
      </c>
      <c r="P43" s="1">
        <v>0</v>
      </c>
      <c r="R43" s="1" t="str">
        <f t="shared" si="1"/>
        <v>人民币</v>
      </c>
      <c r="S43" s="1" t="str">
        <f t="shared" si="18"/>
        <v>T4000117</v>
      </c>
    </row>
    <row r="44" spans="1:18">
      <c r="A44" s="1" t="str">
        <f>"20181129"</f>
        <v>20181129</v>
      </c>
      <c r="B44" s="1" t="str">
        <f>"000543"</f>
        <v>000543</v>
      </c>
      <c r="C44" s="1" t="str">
        <f>"皖能电力"</f>
        <v>皖能电力</v>
      </c>
      <c r="D44" s="1" t="str">
        <f>"股息红利差异扣税"</f>
        <v>股息红利差异扣税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-5</v>
      </c>
      <c r="O44" s="1">
        <v>156.1</v>
      </c>
      <c r="P44" s="1">
        <v>0</v>
      </c>
      <c r="Q44" s="1" t="str">
        <f>"0602175409"</f>
        <v>0602175409</v>
      </c>
      <c r="R44" s="1" t="str">
        <f t="shared" si="1"/>
        <v>人民币</v>
      </c>
    </row>
    <row r="45" spans="1:18">
      <c r="A45" s="1" t="str">
        <f>"20181204"</f>
        <v>20181204</v>
      </c>
      <c r="D45" s="1" t="str">
        <f t="shared" ref="D45:D54" si="20">"偿还融资利息"</f>
        <v>偿还融资利息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-15.36</v>
      </c>
      <c r="O45" s="1">
        <v>140.74</v>
      </c>
      <c r="P45" s="1">
        <v>0</v>
      </c>
      <c r="R45" s="1" t="str">
        <f t="shared" si="1"/>
        <v>人民币</v>
      </c>
    </row>
    <row r="46" spans="1:18">
      <c r="A46" s="1" t="str">
        <f>"20181204"</f>
        <v>20181204</v>
      </c>
      <c r="D46" s="1" t="str">
        <f t="shared" si="19"/>
        <v>偿还融资负债本金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-134.64</v>
      </c>
      <c r="O46" s="1">
        <v>6.1</v>
      </c>
      <c r="P46" s="1">
        <v>0</v>
      </c>
      <c r="R46" s="1" t="str">
        <f t="shared" si="1"/>
        <v>人民币</v>
      </c>
    </row>
    <row r="47" spans="1:19">
      <c r="A47" s="1" t="str">
        <f>"20181217"</f>
        <v>20181217</v>
      </c>
      <c r="B47" s="1" t="str">
        <f>"600886"</f>
        <v>600886</v>
      </c>
      <c r="C47" s="1" t="str">
        <f>"国投电力"</f>
        <v>国投电力</v>
      </c>
      <c r="D47" s="1" t="str">
        <f>"担保品卖出"</f>
        <v>担保品卖出</v>
      </c>
      <c r="E47" s="1">
        <v>7.6</v>
      </c>
      <c r="F47" s="1">
        <v>2000</v>
      </c>
      <c r="G47" s="1">
        <v>15200</v>
      </c>
      <c r="H47" s="1">
        <v>5</v>
      </c>
      <c r="I47" s="1">
        <v>3.96</v>
      </c>
      <c r="J47" s="1">
        <v>15.2</v>
      </c>
      <c r="K47" s="1">
        <v>0.3</v>
      </c>
      <c r="L47" s="1">
        <v>0</v>
      </c>
      <c r="M47" s="1">
        <v>0</v>
      </c>
      <c r="N47" s="1">
        <v>15179.5</v>
      </c>
      <c r="O47" s="1">
        <v>15185.6</v>
      </c>
      <c r="P47" s="1">
        <v>2800</v>
      </c>
      <c r="Q47" s="1" t="str">
        <f>"E021635187"</f>
        <v>E021635187</v>
      </c>
      <c r="R47" s="1" t="str">
        <f t="shared" si="1"/>
        <v>人民币</v>
      </c>
      <c r="S47" s="1" t="str">
        <f>"0136000058"</f>
        <v>0136000058</v>
      </c>
    </row>
    <row r="48" spans="1:18">
      <c r="A48" s="1" t="str">
        <f t="shared" ref="A48:A54" si="21">"20181220"</f>
        <v>20181220</v>
      </c>
      <c r="D48" s="1" t="str">
        <f>"利息归本"</f>
        <v>利息归本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0.31</v>
      </c>
      <c r="O48" s="1">
        <v>15185.91</v>
      </c>
      <c r="P48" s="1">
        <v>0</v>
      </c>
      <c r="R48" s="1" t="str">
        <f t="shared" si="1"/>
        <v>人民币</v>
      </c>
    </row>
    <row r="49" spans="1:18">
      <c r="A49" s="1" t="str">
        <f t="shared" si="21"/>
        <v>20181220</v>
      </c>
      <c r="D49" s="1" t="str">
        <f t="shared" si="20"/>
        <v>偿还融资利息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-42.99</v>
      </c>
      <c r="O49" s="1">
        <v>15142.92</v>
      </c>
      <c r="P49" s="1">
        <v>0</v>
      </c>
      <c r="R49" s="1" t="str">
        <f t="shared" si="1"/>
        <v>人民币</v>
      </c>
    </row>
    <row r="50" spans="1:18">
      <c r="A50" s="1" t="str">
        <f t="shared" si="21"/>
        <v>20181220</v>
      </c>
      <c r="D50" s="1" t="str">
        <f t="shared" si="20"/>
        <v>偿还融资利息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-94.02</v>
      </c>
      <c r="O50" s="1">
        <v>15048.9</v>
      </c>
      <c r="P50" s="1">
        <v>0</v>
      </c>
      <c r="R50" s="1" t="str">
        <f t="shared" si="1"/>
        <v>人民币</v>
      </c>
    </row>
    <row r="51" spans="1:18">
      <c r="A51" s="1" t="str">
        <f t="shared" si="21"/>
        <v>20181220</v>
      </c>
      <c r="D51" s="1" t="str">
        <f t="shared" si="20"/>
        <v>偿还融资利息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-115.84</v>
      </c>
      <c r="O51" s="1">
        <v>14933.06</v>
      </c>
      <c r="P51" s="1">
        <v>0</v>
      </c>
      <c r="R51" s="1" t="str">
        <f t="shared" si="1"/>
        <v>人民币</v>
      </c>
    </row>
    <row r="52" spans="1:18">
      <c r="A52" s="1" t="str">
        <f t="shared" si="21"/>
        <v>20181220</v>
      </c>
      <c r="D52" s="1" t="str">
        <f t="shared" si="20"/>
        <v>偿还融资利息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-94.79</v>
      </c>
      <c r="O52" s="1">
        <v>14838.27</v>
      </c>
      <c r="P52" s="1">
        <v>0</v>
      </c>
      <c r="R52" s="1" t="str">
        <f t="shared" si="1"/>
        <v>人民币</v>
      </c>
    </row>
    <row r="53" spans="1:18">
      <c r="A53" s="1" t="str">
        <f t="shared" si="21"/>
        <v>20181220</v>
      </c>
      <c r="D53" s="1" t="str">
        <f t="shared" si="20"/>
        <v>偿还融资利息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-140.96</v>
      </c>
      <c r="O53" s="1">
        <v>14697.31</v>
      </c>
      <c r="P53" s="1">
        <v>0</v>
      </c>
      <c r="R53" s="1" t="str">
        <f t="shared" si="1"/>
        <v>人民币</v>
      </c>
    </row>
    <row r="54" spans="1:18">
      <c r="A54" s="1" t="str">
        <f t="shared" si="21"/>
        <v>20181220</v>
      </c>
      <c r="D54" s="1" t="str">
        <f t="shared" si="20"/>
        <v>偿还融资利息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-70.61</v>
      </c>
      <c r="O54" s="1">
        <v>14626.7</v>
      </c>
      <c r="P54" s="1">
        <v>0</v>
      </c>
      <c r="R54" s="1" t="str">
        <f t="shared" si="1"/>
        <v>人民币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0"/>
  <sheetViews>
    <sheetView topLeftCell="A31" workbookViewId="0">
      <selection activeCell="A2" sqref="A2:P40"/>
    </sheetView>
  </sheetViews>
  <sheetFormatPr defaultColWidth="9" defaultRowHeight="13.5"/>
  <cols>
    <col min="1" max="16384" width="9" style="1"/>
  </cols>
  <sheetData>
    <row r="1" spans="1:19">
      <c r="A1" s="1" t="str">
        <f>"交割日期"</f>
        <v>交割日期</v>
      </c>
      <c r="B1" s="1" t="str">
        <f>"证券代码"</f>
        <v>证券代码</v>
      </c>
      <c r="C1" s="1" t="str">
        <f>"证券名称"</f>
        <v>证券名称</v>
      </c>
      <c r="D1" s="1" t="str">
        <f>"业务名称"</f>
        <v>业务名称</v>
      </c>
      <c r="E1" s="1" t="str">
        <f>"成交价格"</f>
        <v>成交价格</v>
      </c>
      <c r="F1" s="1" t="str">
        <f>"成交数量"</f>
        <v>成交数量</v>
      </c>
      <c r="G1" s="1" t="str">
        <f>"成交金额"</f>
        <v>成交金额</v>
      </c>
      <c r="H1" s="1" t="str">
        <f>"手续费"</f>
        <v>手续费</v>
      </c>
      <c r="I1" s="1" t="str">
        <f>"净佣金"</f>
        <v>净佣金</v>
      </c>
      <c r="J1" s="1" t="str">
        <f>"印花税"</f>
        <v>印花税</v>
      </c>
      <c r="K1" s="1" t="str">
        <f>"过户费"</f>
        <v>过户费</v>
      </c>
      <c r="L1" s="1" t="str">
        <f>"结算费"</f>
        <v>结算费</v>
      </c>
      <c r="M1" s="1" t="str">
        <f>"其他费"</f>
        <v>其他费</v>
      </c>
      <c r="N1" s="1" t="str">
        <f>"发生金额"</f>
        <v>发生金额</v>
      </c>
      <c r="O1" s="1" t="str">
        <f>"剩余金额"</f>
        <v>剩余金额</v>
      </c>
      <c r="P1" s="1" t="str">
        <f>"证券数量"</f>
        <v>证券数量</v>
      </c>
      <c r="Q1" s="1" t="str">
        <f>"股东代码"</f>
        <v>股东代码</v>
      </c>
      <c r="R1" s="1" t="str">
        <f>"币种"</f>
        <v>币种</v>
      </c>
      <c r="S1" s="1" t="str">
        <f>"成交编号"</f>
        <v>成交编号</v>
      </c>
    </row>
    <row r="2" spans="1:18">
      <c r="A2" s="1" t="str">
        <f>"20190108"</f>
        <v>20190108</v>
      </c>
      <c r="D2" s="1" t="str">
        <f>"证券转银行"</f>
        <v>证券转银行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-2000</v>
      </c>
      <c r="O2" s="1">
        <v>12626.7</v>
      </c>
      <c r="P2" s="1">
        <v>0</v>
      </c>
      <c r="R2" s="1" t="str">
        <f t="shared" ref="R2:R40" si="0">"人民币"</f>
        <v>人民币</v>
      </c>
    </row>
    <row r="3" spans="1:18">
      <c r="A3" s="1" t="str">
        <f t="shared" ref="A3:A9" si="1">"20190118"</f>
        <v>20190118</v>
      </c>
      <c r="D3" s="1" t="str">
        <f>"证券转银行"</f>
        <v>证券转银行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-5000</v>
      </c>
      <c r="O3" s="1">
        <v>7626.7</v>
      </c>
      <c r="P3" s="1">
        <v>0</v>
      </c>
      <c r="R3" s="1" t="str">
        <f t="shared" si="0"/>
        <v>人民币</v>
      </c>
    </row>
    <row r="4" spans="1:18">
      <c r="A4" s="1" t="str">
        <f t="shared" si="1"/>
        <v>20190118</v>
      </c>
      <c r="D4" s="1" t="str">
        <f t="shared" ref="D4:D15" si="2">"偿还融资利息"</f>
        <v>偿还融资利息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-73.33</v>
      </c>
      <c r="O4" s="1">
        <v>7553.37</v>
      </c>
      <c r="P4" s="1">
        <v>0</v>
      </c>
      <c r="R4" s="1" t="str">
        <f t="shared" si="0"/>
        <v>人民币</v>
      </c>
    </row>
    <row r="5" spans="1:18">
      <c r="A5" s="1" t="str">
        <f t="shared" si="1"/>
        <v>20190118</v>
      </c>
      <c r="D5" s="1" t="str">
        <f t="shared" si="2"/>
        <v>偿还融资利息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-17.69</v>
      </c>
      <c r="O5" s="1">
        <v>7535.68</v>
      </c>
      <c r="P5" s="1">
        <v>0</v>
      </c>
      <c r="R5" s="1" t="str">
        <f t="shared" si="0"/>
        <v>人民币</v>
      </c>
    </row>
    <row r="6" spans="1:18">
      <c r="A6" s="1" t="str">
        <f t="shared" si="1"/>
        <v>20190118</v>
      </c>
      <c r="D6" s="1" t="str">
        <f t="shared" si="2"/>
        <v>偿还融资利息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-104.97</v>
      </c>
      <c r="O6" s="1">
        <v>7430.71</v>
      </c>
      <c r="P6" s="1">
        <v>0</v>
      </c>
      <c r="R6" s="1" t="str">
        <f t="shared" si="0"/>
        <v>人民币</v>
      </c>
    </row>
    <row r="7" spans="1:18">
      <c r="A7" s="1" t="str">
        <f t="shared" si="1"/>
        <v>20190118</v>
      </c>
      <c r="D7" s="1" t="str">
        <f t="shared" si="2"/>
        <v>偿还融资利息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-94.79</v>
      </c>
      <c r="O7" s="1">
        <v>7335.92</v>
      </c>
      <c r="P7" s="1">
        <v>0</v>
      </c>
      <c r="R7" s="1" t="str">
        <f t="shared" si="0"/>
        <v>人民币</v>
      </c>
    </row>
    <row r="8" spans="1:18">
      <c r="A8" s="1" t="str">
        <f t="shared" si="1"/>
        <v>20190118</v>
      </c>
      <c r="D8" s="1" t="str">
        <f t="shared" si="2"/>
        <v>偿还融资利息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-177.73</v>
      </c>
      <c r="O8" s="1">
        <v>7158.19</v>
      </c>
      <c r="P8" s="1">
        <v>0</v>
      </c>
      <c r="R8" s="1" t="str">
        <f t="shared" si="0"/>
        <v>人民币</v>
      </c>
    </row>
    <row r="9" spans="1:18">
      <c r="A9" s="1" t="str">
        <f t="shared" si="1"/>
        <v>20190118</v>
      </c>
      <c r="D9" s="1" t="str">
        <f t="shared" si="2"/>
        <v>偿还融资利息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-89.03</v>
      </c>
      <c r="O9" s="1">
        <v>7069.16</v>
      </c>
      <c r="P9" s="1">
        <v>0</v>
      </c>
      <c r="R9" s="1" t="str">
        <f t="shared" si="0"/>
        <v>人民币</v>
      </c>
    </row>
    <row r="10" spans="1:18">
      <c r="A10" s="1" t="str">
        <f t="shared" ref="A10:A15" si="3">"20190220"</f>
        <v>20190220</v>
      </c>
      <c r="D10" s="1" t="str">
        <f t="shared" si="2"/>
        <v>偿还融资利息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-83.43</v>
      </c>
      <c r="O10" s="1">
        <v>6985.73</v>
      </c>
      <c r="P10" s="1">
        <v>0</v>
      </c>
      <c r="R10" s="1" t="str">
        <f t="shared" si="0"/>
        <v>人民币</v>
      </c>
    </row>
    <row r="11" spans="1:18">
      <c r="A11" s="1" t="str">
        <f t="shared" si="3"/>
        <v>20190220</v>
      </c>
      <c r="D11" s="1" t="str">
        <f t="shared" si="2"/>
        <v>偿还融资利息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-20.13</v>
      </c>
      <c r="O11" s="1">
        <v>6965.6</v>
      </c>
      <c r="P11" s="1">
        <v>0</v>
      </c>
      <c r="R11" s="1" t="str">
        <f t="shared" si="0"/>
        <v>人民币</v>
      </c>
    </row>
    <row r="12" spans="1:18">
      <c r="A12" s="1" t="str">
        <f t="shared" si="3"/>
        <v>20190220</v>
      </c>
      <c r="D12" s="1" t="str">
        <f t="shared" si="2"/>
        <v>偿还融资利息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-119.44</v>
      </c>
      <c r="O12" s="1">
        <v>6846.16</v>
      </c>
      <c r="P12" s="1">
        <v>0</v>
      </c>
      <c r="R12" s="1" t="str">
        <f t="shared" si="0"/>
        <v>人民币</v>
      </c>
    </row>
    <row r="13" spans="1:18">
      <c r="A13" s="1" t="str">
        <f t="shared" si="3"/>
        <v>20190220</v>
      </c>
      <c r="D13" s="1" t="str">
        <f t="shared" si="2"/>
        <v>偿还融资利息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-107.85</v>
      </c>
      <c r="O13" s="1">
        <v>6738.31</v>
      </c>
      <c r="P13" s="1">
        <v>0</v>
      </c>
      <c r="R13" s="1" t="str">
        <f t="shared" si="0"/>
        <v>人民币</v>
      </c>
    </row>
    <row r="14" spans="1:18">
      <c r="A14" s="1" t="str">
        <f t="shared" si="3"/>
        <v>20190220</v>
      </c>
      <c r="D14" s="1" t="str">
        <f t="shared" si="2"/>
        <v>偿还融资利息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-202.23</v>
      </c>
      <c r="O14" s="1">
        <v>6536.08</v>
      </c>
      <c r="P14" s="1">
        <v>0</v>
      </c>
      <c r="R14" s="1" t="str">
        <f t="shared" si="0"/>
        <v>人民币</v>
      </c>
    </row>
    <row r="15" spans="1:18">
      <c r="A15" s="1" t="str">
        <f t="shared" si="3"/>
        <v>20190220</v>
      </c>
      <c r="D15" s="1" t="str">
        <f t="shared" si="2"/>
        <v>偿还融资利息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-101.3</v>
      </c>
      <c r="O15" s="1">
        <v>6434.78</v>
      </c>
      <c r="P15" s="1">
        <v>0</v>
      </c>
      <c r="R15" s="1" t="str">
        <f t="shared" si="0"/>
        <v>人民币</v>
      </c>
    </row>
    <row r="16" spans="1:19">
      <c r="A16" s="1" t="str">
        <f>"20190222"</f>
        <v>20190222</v>
      </c>
      <c r="B16" s="1" t="str">
        <f>"600172"</f>
        <v>600172</v>
      </c>
      <c r="C16" s="1" t="str">
        <f>"黄河旋风"</f>
        <v>黄河旋风</v>
      </c>
      <c r="D16" s="1" t="str">
        <f>"担保品买入"</f>
        <v>担保品买入</v>
      </c>
      <c r="E16" s="1">
        <v>3.86</v>
      </c>
      <c r="F16" s="1">
        <v>1600</v>
      </c>
      <c r="G16" s="1">
        <v>6176</v>
      </c>
      <c r="H16" s="1">
        <v>5</v>
      </c>
      <c r="I16" s="1">
        <v>4.58</v>
      </c>
      <c r="J16" s="1">
        <v>0</v>
      </c>
      <c r="K16" s="1">
        <v>0.12</v>
      </c>
      <c r="L16" s="1">
        <v>0</v>
      </c>
      <c r="M16" s="1">
        <v>0</v>
      </c>
      <c r="N16" s="1">
        <v>-6181.12</v>
      </c>
      <c r="O16" s="1">
        <v>253.66</v>
      </c>
      <c r="P16" s="1">
        <v>1600</v>
      </c>
      <c r="Q16" s="1" t="str">
        <f>"E021635187"</f>
        <v>E021635187</v>
      </c>
      <c r="R16" s="1" t="str">
        <f t="shared" si="0"/>
        <v>人民币</v>
      </c>
      <c r="S16" s="1" t="str">
        <f>"0136000325"</f>
        <v>0136000325</v>
      </c>
    </row>
    <row r="17" spans="1:19">
      <c r="A17" s="1" t="str">
        <f>"20190226"</f>
        <v>20190226</v>
      </c>
      <c r="B17" s="1" t="str">
        <f>"600172"</f>
        <v>600172</v>
      </c>
      <c r="C17" s="1" t="str">
        <f>"黄河旋风"</f>
        <v>黄河旋风</v>
      </c>
      <c r="D17" s="1" t="str">
        <f>"担保品卖出"</f>
        <v>担保品卖出</v>
      </c>
      <c r="E17" s="1">
        <v>3.99</v>
      </c>
      <c r="F17" s="1">
        <v>1600</v>
      </c>
      <c r="G17" s="1">
        <v>6384</v>
      </c>
      <c r="H17" s="1">
        <v>5</v>
      </c>
      <c r="I17" s="1">
        <v>4.56</v>
      </c>
      <c r="J17" s="1">
        <v>6.38</v>
      </c>
      <c r="K17" s="1">
        <v>0.13</v>
      </c>
      <c r="L17" s="1">
        <v>0</v>
      </c>
      <c r="M17" s="1">
        <v>0</v>
      </c>
      <c r="N17" s="1">
        <v>6372.49</v>
      </c>
      <c r="O17" s="1">
        <v>6626.15</v>
      </c>
      <c r="P17" s="1">
        <v>0</v>
      </c>
      <c r="Q17" s="1" t="str">
        <f>"E021635187"</f>
        <v>E021635187</v>
      </c>
      <c r="R17" s="1" t="str">
        <f t="shared" si="0"/>
        <v>人民币</v>
      </c>
      <c r="S17" s="1" t="str">
        <f>"0136000547"</f>
        <v>0136000547</v>
      </c>
    </row>
    <row r="18" spans="1:19">
      <c r="A18" s="1" t="str">
        <f t="shared" ref="A18:A25" si="4">"20190308"</f>
        <v>20190308</v>
      </c>
      <c r="B18" s="1" t="str">
        <f>"000050"</f>
        <v>000050</v>
      </c>
      <c r="C18" s="1" t="str">
        <f>"深天马Ａ"</f>
        <v>深天马Ａ</v>
      </c>
      <c r="D18" s="1" t="str">
        <f>"担保品卖出"</f>
        <v>担保品卖出</v>
      </c>
      <c r="E18" s="1">
        <v>20.2</v>
      </c>
      <c r="F18" s="1">
        <v>900</v>
      </c>
      <c r="G18" s="1">
        <v>18180</v>
      </c>
      <c r="H18" s="1">
        <v>5.64</v>
      </c>
      <c r="I18" s="1">
        <v>4.03</v>
      </c>
      <c r="J18" s="1">
        <v>18.18</v>
      </c>
      <c r="K18" s="1">
        <v>0</v>
      </c>
      <c r="L18" s="1">
        <v>0</v>
      </c>
      <c r="M18" s="1">
        <v>0</v>
      </c>
      <c r="N18" s="1">
        <v>18156.18</v>
      </c>
      <c r="O18" s="1">
        <v>24782.33</v>
      </c>
      <c r="P18" s="1">
        <v>0</v>
      </c>
      <c r="Q18" s="1" t="str">
        <f>"0602175409"</f>
        <v>0602175409</v>
      </c>
      <c r="R18" s="1" t="str">
        <f t="shared" si="0"/>
        <v>人民币</v>
      </c>
      <c r="S18" s="1" t="str">
        <f>"T4000271"</f>
        <v>T4000271</v>
      </c>
    </row>
    <row r="19" spans="1:19">
      <c r="A19" s="1" t="str">
        <f t="shared" si="4"/>
        <v>20190308</v>
      </c>
      <c r="B19" s="1" t="str">
        <f>"000543"</f>
        <v>000543</v>
      </c>
      <c r="C19" s="1" t="str">
        <f>"皖能电力"</f>
        <v>皖能电力</v>
      </c>
      <c r="D19" s="1" t="str">
        <f>"卖券还款"</f>
        <v>卖券还款</v>
      </c>
      <c r="E19" s="1">
        <v>5.58</v>
      </c>
      <c r="F19" s="1">
        <v>3000</v>
      </c>
      <c r="G19" s="1">
        <v>16740</v>
      </c>
      <c r="H19" s="1">
        <v>8.37</v>
      </c>
      <c r="I19" s="1">
        <v>6.89</v>
      </c>
      <c r="J19" s="1">
        <v>16.74</v>
      </c>
      <c r="K19" s="1">
        <v>0</v>
      </c>
      <c r="L19" s="1">
        <v>0</v>
      </c>
      <c r="M19" s="1">
        <v>0</v>
      </c>
      <c r="N19" s="1">
        <v>16714.89</v>
      </c>
      <c r="O19" s="1">
        <v>41497.22</v>
      </c>
      <c r="P19" s="1">
        <v>7000</v>
      </c>
      <c r="Q19" s="1" t="str">
        <f>"0602175409"</f>
        <v>0602175409</v>
      </c>
      <c r="R19" s="1" t="str">
        <f t="shared" si="0"/>
        <v>人民币</v>
      </c>
      <c r="S19" s="1" t="str">
        <f t="shared" ref="S19:S25" si="5">"T4000999"</f>
        <v>T4000999</v>
      </c>
    </row>
    <row r="20" spans="1:19">
      <c r="A20" s="1" t="str">
        <f t="shared" si="4"/>
        <v>20190308</v>
      </c>
      <c r="D20" s="1" t="str">
        <f t="shared" ref="D20:D24" si="6">"偿还融资利息"</f>
        <v>偿还融资利息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-37.93</v>
      </c>
      <c r="O20" s="1">
        <v>41459.29</v>
      </c>
      <c r="P20" s="1">
        <v>0</v>
      </c>
      <c r="R20" s="1" t="str">
        <f t="shared" si="0"/>
        <v>人民币</v>
      </c>
      <c r="S20" s="1" t="str">
        <f t="shared" si="5"/>
        <v>T4000999</v>
      </c>
    </row>
    <row r="21" spans="1:19">
      <c r="A21" s="1" t="str">
        <f t="shared" si="4"/>
        <v>20190308</v>
      </c>
      <c r="D21" s="1" t="str">
        <f t="shared" ref="D21:D25" si="7">"偿还融资负债本金"</f>
        <v>偿还融资负债本金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-10893.29</v>
      </c>
      <c r="O21" s="1">
        <v>30566</v>
      </c>
      <c r="P21" s="1">
        <v>0</v>
      </c>
      <c r="R21" s="1" t="str">
        <f t="shared" si="0"/>
        <v>人民币</v>
      </c>
      <c r="S21" s="1" t="str">
        <f t="shared" si="5"/>
        <v>T4000999</v>
      </c>
    </row>
    <row r="22" spans="1:19">
      <c r="A22" s="1" t="str">
        <f t="shared" si="4"/>
        <v>20190308</v>
      </c>
      <c r="D22" s="1" t="str">
        <f t="shared" si="6"/>
        <v>偿还融资利息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-9.15</v>
      </c>
      <c r="O22" s="1">
        <v>30556.85</v>
      </c>
      <c r="P22" s="1">
        <v>0</v>
      </c>
      <c r="R22" s="1" t="str">
        <f t="shared" si="0"/>
        <v>人民币</v>
      </c>
      <c r="S22" s="1" t="str">
        <f t="shared" si="5"/>
        <v>T4000999</v>
      </c>
    </row>
    <row r="23" spans="1:19">
      <c r="A23" s="1" t="str">
        <f t="shared" si="4"/>
        <v>20190308</v>
      </c>
      <c r="D23" s="1" t="str">
        <f t="shared" si="7"/>
        <v>偿还融资负债本金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-2628.62</v>
      </c>
      <c r="O23" s="1">
        <v>27928.23</v>
      </c>
      <c r="P23" s="1">
        <v>0</v>
      </c>
      <c r="R23" s="1" t="str">
        <f t="shared" si="0"/>
        <v>人民币</v>
      </c>
      <c r="S23" s="1" t="str">
        <f t="shared" si="5"/>
        <v>T4000999</v>
      </c>
    </row>
    <row r="24" spans="1:19">
      <c r="A24" s="1" t="str">
        <f t="shared" si="4"/>
        <v>20190308</v>
      </c>
      <c r="D24" s="1" t="str">
        <f t="shared" si="6"/>
        <v>偿还融资利息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-54.3</v>
      </c>
      <c r="O24" s="1">
        <v>27873.93</v>
      </c>
      <c r="P24" s="1">
        <v>0</v>
      </c>
      <c r="R24" s="1" t="str">
        <f t="shared" si="0"/>
        <v>人民币</v>
      </c>
      <c r="S24" s="1" t="str">
        <f t="shared" si="5"/>
        <v>T4000999</v>
      </c>
    </row>
    <row r="25" spans="1:19">
      <c r="A25" s="1" t="str">
        <f t="shared" si="4"/>
        <v>20190308</v>
      </c>
      <c r="D25" s="1" t="str">
        <f t="shared" si="7"/>
        <v>偿还融资负债本金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-3049.75</v>
      </c>
      <c r="O25" s="1">
        <v>24824.18</v>
      </c>
      <c r="P25" s="1">
        <v>0</v>
      </c>
      <c r="R25" s="1" t="str">
        <f t="shared" si="0"/>
        <v>人民币</v>
      </c>
      <c r="S25" s="1" t="str">
        <f t="shared" si="5"/>
        <v>T4000999</v>
      </c>
    </row>
    <row r="26" spans="1:18">
      <c r="A26" s="1" t="str">
        <f>"20190315"</f>
        <v>20190315</v>
      </c>
      <c r="D26" s="1" t="str">
        <f>"证券转银行"</f>
        <v>证券转银行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-2000</v>
      </c>
      <c r="O26" s="1">
        <v>22824.18</v>
      </c>
      <c r="P26" s="1">
        <v>0</v>
      </c>
      <c r="R26" s="1" t="str">
        <f t="shared" si="0"/>
        <v>人民币</v>
      </c>
    </row>
    <row r="27" spans="1:18">
      <c r="A27" s="1" t="str">
        <f t="shared" ref="A27:A31" si="8">"20190320"</f>
        <v>20190320</v>
      </c>
      <c r="D27" s="1" t="str">
        <f>"利息归本"</f>
        <v>利息归本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9.28</v>
      </c>
      <c r="O27" s="1">
        <v>22833.46</v>
      </c>
      <c r="P27" s="1">
        <v>0</v>
      </c>
      <c r="R27" s="1" t="str">
        <f t="shared" si="0"/>
        <v>人民币</v>
      </c>
    </row>
    <row r="28" spans="1:18">
      <c r="A28" s="1" t="str">
        <f t="shared" si="8"/>
        <v>20190320</v>
      </c>
      <c r="D28" s="1" t="str">
        <f t="shared" ref="D28:D32" si="9">"偿还融资利息"</f>
        <v>偿还融资利息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-37.83</v>
      </c>
      <c r="O28" s="1">
        <v>22795.63</v>
      </c>
      <c r="P28" s="1">
        <v>0</v>
      </c>
      <c r="R28" s="1" t="str">
        <f t="shared" si="0"/>
        <v>人民币</v>
      </c>
    </row>
    <row r="29" spans="1:18">
      <c r="A29" s="1" t="str">
        <f t="shared" si="8"/>
        <v>20190320</v>
      </c>
      <c r="D29" s="1" t="str">
        <f t="shared" si="9"/>
        <v>偿还融资利息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-91.52</v>
      </c>
      <c r="O29" s="1">
        <v>22704.11</v>
      </c>
      <c r="P29" s="1">
        <v>0</v>
      </c>
      <c r="R29" s="1" t="str">
        <f t="shared" si="0"/>
        <v>人民币</v>
      </c>
    </row>
    <row r="30" spans="1:18">
      <c r="A30" s="1" t="str">
        <f t="shared" si="8"/>
        <v>20190320</v>
      </c>
      <c r="D30" s="1" t="str">
        <f t="shared" si="9"/>
        <v>偿还融资利息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-171.6</v>
      </c>
      <c r="O30" s="1">
        <v>22532.51</v>
      </c>
      <c r="P30" s="1">
        <v>0</v>
      </c>
      <c r="R30" s="1" t="str">
        <f t="shared" si="0"/>
        <v>人民币</v>
      </c>
    </row>
    <row r="31" spans="1:18">
      <c r="A31" s="1" t="str">
        <f t="shared" si="8"/>
        <v>20190320</v>
      </c>
      <c r="D31" s="1" t="str">
        <f t="shared" si="9"/>
        <v>偿还融资利息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-85.96</v>
      </c>
      <c r="O31" s="1">
        <v>22446.55</v>
      </c>
      <c r="P31" s="1">
        <v>0</v>
      </c>
      <c r="R31" s="1" t="str">
        <f t="shared" si="0"/>
        <v>人民币</v>
      </c>
    </row>
    <row r="32" spans="1:18">
      <c r="A32" s="1" t="str">
        <f>"20190322"</f>
        <v>20190322</v>
      </c>
      <c r="D32" s="1" t="str">
        <f t="shared" si="9"/>
        <v>偿还融资利息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-2.91</v>
      </c>
      <c r="O32" s="1">
        <v>22443.64</v>
      </c>
      <c r="P32" s="1">
        <v>0</v>
      </c>
      <c r="R32" s="1" t="str">
        <f t="shared" si="0"/>
        <v>人民币</v>
      </c>
    </row>
    <row r="33" spans="1:18">
      <c r="A33" s="1" t="str">
        <f>"20190322"</f>
        <v>20190322</v>
      </c>
      <c r="D33" s="1" t="str">
        <f t="shared" ref="D33:D38" si="10">"偿还融资负债本金"</f>
        <v>偿还融资负债本金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-1997.09</v>
      </c>
      <c r="O33" s="1">
        <v>20446.55</v>
      </c>
      <c r="P33" s="1">
        <v>0</v>
      </c>
      <c r="R33" s="1" t="str">
        <f t="shared" si="0"/>
        <v>人民币</v>
      </c>
    </row>
    <row r="34" spans="1:19">
      <c r="A34" s="1" t="str">
        <f t="shared" ref="A34:A38" si="11">"20190325"</f>
        <v>20190325</v>
      </c>
      <c r="B34" s="1" t="str">
        <f>"002183"</f>
        <v>002183</v>
      </c>
      <c r="C34" s="1" t="str">
        <f>"怡 亚 通"</f>
        <v>怡 亚 通</v>
      </c>
      <c r="D34" s="1" t="str">
        <f>"卖券还款"</f>
        <v>卖券还款</v>
      </c>
      <c r="E34" s="1">
        <v>6.02</v>
      </c>
      <c r="F34" s="1">
        <v>2500</v>
      </c>
      <c r="G34" s="1">
        <v>15050</v>
      </c>
      <c r="H34" s="1">
        <v>7.53</v>
      </c>
      <c r="I34" s="1">
        <v>6.2</v>
      </c>
      <c r="J34" s="1">
        <v>15.05</v>
      </c>
      <c r="K34" s="1">
        <v>0</v>
      </c>
      <c r="L34" s="1">
        <v>0</v>
      </c>
      <c r="M34" s="1">
        <v>0</v>
      </c>
      <c r="N34" s="1">
        <v>15027.42</v>
      </c>
      <c r="O34" s="1">
        <v>35473.97</v>
      </c>
      <c r="P34" s="1">
        <v>7500</v>
      </c>
      <c r="Q34" s="1" t="str">
        <f>"0602175409"</f>
        <v>0602175409</v>
      </c>
      <c r="R34" s="1" t="str">
        <f t="shared" si="0"/>
        <v>人民币</v>
      </c>
      <c r="S34" s="1" t="str">
        <f t="shared" ref="S34:S38" si="12">"T4001018"</f>
        <v>T4001018</v>
      </c>
    </row>
    <row r="35" spans="1:19">
      <c r="A35" s="1" t="str">
        <f t="shared" si="11"/>
        <v>20190325</v>
      </c>
      <c r="D35" s="1" t="str">
        <f>"偿还融资利息"</f>
        <v>偿还融资利息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-7.34</v>
      </c>
      <c r="O35" s="1">
        <v>35466.63</v>
      </c>
      <c r="P35" s="1">
        <v>0</v>
      </c>
      <c r="R35" s="1" t="str">
        <f t="shared" si="0"/>
        <v>人民币</v>
      </c>
      <c r="S35" s="1" t="str">
        <f t="shared" si="12"/>
        <v>T4001018</v>
      </c>
    </row>
    <row r="36" spans="1:19">
      <c r="A36" s="1" t="str">
        <f t="shared" si="11"/>
        <v>20190325</v>
      </c>
      <c r="D36" s="1" t="str">
        <f t="shared" si="10"/>
        <v>偿还融资负债本金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-10550.96</v>
      </c>
      <c r="O36" s="1">
        <v>24915.67</v>
      </c>
      <c r="P36" s="1">
        <v>0</v>
      </c>
      <c r="R36" s="1" t="str">
        <f t="shared" si="0"/>
        <v>人民币</v>
      </c>
      <c r="S36" s="1" t="str">
        <f t="shared" si="12"/>
        <v>T4001018</v>
      </c>
    </row>
    <row r="37" spans="1:19">
      <c r="A37" s="1" t="str">
        <f t="shared" si="11"/>
        <v>20190325</v>
      </c>
      <c r="D37" s="1" t="str">
        <f>"偿还融资利息"</f>
        <v>偿还融资利息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-13.07</v>
      </c>
      <c r="O37" s="1">
        <v>24902.6</v>
      </c>
      <c r="P37" s="1">
        <v>0</v>
      </c>
      <c r="R37" s="1" t="str">
        <f t="shared" si="0"/>
        <v>人民币</v>
      </c>
      <c r="S37" s="1" t="str">
        <f t="shared" si="12"/>
        <v>T4001018</v>
      </c>
    </row>
    <row r="38" spans="1:19">
      <c r="A38" s="1" t="str">
        <f t="shared" si="11"/>
        <v>20190325</v>
      </c>
      <c r="D38" s="1" t="str">
        <f t="shared" si="10"/>
        <v>偿还融资负债本金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-4418.43</v>
      </c>
      <c r="O38" s="1">
        <v>20484.17</v>
      </c>
      <c r="P38" s="1">
        <v>0</v>
      </c>
      <c r="R38" s="1" t="str">
        <f t="shared" si="0"/>
        <v>人民币</v>
      </c>
      <c r="S38" s="1" t="str">
        <f t="shared" si="12"/>
        <v>T4001018</v>
      </c>
    </row>
    <row r="39" spans="1:19">
      <c r="A39" s="1" t="str">
        <f>"20190326"</f>
        <v>20190326</v>
      </c>
      <c r="B39" s="1" t="str">
        <f>"000543"</f>
        <v>000543</v>
      </c>
      <c r="C39" s="1" t="str">
        <f>"皖能电力"</f>
        <v>皖能电力</v>
      </c>
      <c r="D39" s="1" t="str">
        <f>"融资买入"</f>
        <v>融资买入</v>
      </c>
      <c r="E39" s="1">
        <v>5.37</v>
      </c>
      <c r="F39" s="1">
        <v>3000</v>
      </c>
      <c r="G39" s="1">
        <v>16110</v>
      </c>
      <c r="H39" s="1">
        <v>8.06</v>
      </c>
      <c r="I39" s="1">
        <v>6.62</v>
      </c>
      <c r="J39" s="1">
        <v>0</v>
      </c>
      <c r="K39" s="1">
        <v>0</v>
      </c>
      <c r="L39" s="1">
        <v>0</v>
      </c>
      <c r="M39" s="1">
        <v>0</v>
      </c>
      <c r="N39" s="1">
        <v>-16118.06</v>
      </c>
      <c r="O39" s="1">
        <v>4366.11</v>
      </c>
      <c r="P39" s="1">
        <v>10000</v>
      </c>
      <c r="Q39" s="1" t="str">
        <f>"0602175409"</f>
        <v>0602175409</v>
      </c>
      <c r="R39" s="1" t="str">
        <f t="shared" si="0"/>
        <v>人民币</v>
      </c>
      <c r="S39" s="1" t="str">
        <f>"T4000676"</f>
        <v>T4000676</v>
      </c>
    </row>
    <row r="40" spans="1:19">
      <c r="A40" s="1" t="str">
        <f>"20190326"</f>
        <v>20190326</v>
      </c>
      <c r="D40" s="1" t="str">
        <f>"融资借入"</f>
        <v>融资借入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16118.06</v>
      </c>
      <c r="O40" s="1">
        <v>20484.17</v>
      </c>
      <c r="P40" s="1">
        <v>0</v>
      </c>
      <c r="R40" s="1" t="str">
        <f t="shared" si="0"/>
        <v>人民币</v>
      </c>
      <c r="S40" s="1" t="str">
        <f>"T4000676"</f>
        <v>T4000676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8"/>
  <sheetViews>
    <sheetView topLeftCell="A25" workbookViewId="0">
      <selection activeCell="A2" sqref="A2:P38"/>
    </sheetView>
  </sheetViews>
  <sheetFormatPr defaultColWidth="9" defaultRowHeight="13.5"/>
  <cols>
    <col min="1" max="16384" width="9" style="1"/>
  </cols>
  <sheetData>
    <row r="1" spans="1:19">
      <c r="A1" s="1" t="str">
        <f>"交割日期"</f>
        <v>交割日期</v>
      </c>
      <c r="B1" s="1" t="str">
        <f>"证券代码"</f>
        <v>证券代码</v>
      </c>
      <c r="C1" s="1" t="str">
        <f>"证券名称"</f>
        <v>证券名称</v>
      </c>
      <c r="D1" s="1" t="str">
        <f>"业务名称"</f>
        <v>业务名称</v>
      </c>
      <c r="E1" s="1" t="str">
        <f>"成交价格"</f>
        <v>成交价格</v>
      </c>
      <c r="F1" s="1" t="str">
        <f>"成交数量"</f>
        <v>成交数量</v>
      </c>
      <c r="G1" s="1" t="str">
        <f>"成交金额"</f>
        <v>成交金额</v>
      </c>
      <c r="H1" s="1" t="str">
        <f>"手续费"</f>
        <v>手续费</v>
      </c>
      <c r="I1" s="1" t="str">
        <f>"净佣金"</f>
        <v>净佣金</v>
      </c>
      <c r="J1" s="1" t="str">
        <f>"印花税"</f>
        <v>印花税</v>
      </c>
      <c r="K1" s="1" t="str">
        <f>"过户费"</f>
        <v>过户费</v>
      </c>
      <c r="L1" s="1" t="str">
        <f>"结算费"</f>
        <v>结算费</v>
      </c>
      <c r="M1" s="1" t="str">
        <f>"其他费"</f>
        <v>其他费</v>
      </c>
      <c r="N1" s="1" t="str">
        <f>"发生金额"</f>
        <v>发生金额</v>
      </c>
      <c r="O1" s="1" t="str">
        <f>"剩余金额"</f>
        <v>剩余金额</v>
      </c>
      <c r="P1" s="1" t="str">
        <f>"证券数量"</f>
        <v>证券数量</v>
      </c>
      <c r="Q1" s="1" t="str">
        <f>"股东代码"</f>
        <v>股东代码</v>
      </c>
      <c r="R1" s="1" t="str">
        <f>"币种"</f>
        <v>币种</v>
      </c>
      <c r="S1" s="1" t="str">
        <f>"成交编号"</f>
        <v>成交编号</v>
      </c>
    </row>
    <row r="2" spans="1:19">
      <c r="A2" s="1" t="str">
        <f t="shared" ref="A2:A6" si="0">"20190415"</f>
        <v>20190415</v>
      </c>
      <c r="B2" s="1" t="str">
        <f>"000543"</f>
        <v>000543</v>
      </c>
      <c r="C2" s="1" t="str">
        <f>"皖能电力"</f>
        <v>皖能电力</v>
      </c>
      <c r="D2" s="1" t="str">
        <f>"卖券还款"</f>
        <v>卖券还款</v>
      </c>
      <c r="E2" s="1">
        <v>5.51</v>
      </c>
      <c r="F2" s="1">
        <v>3000</v>
      </c>
      <c r="G2" s="1">
        <v>16530</v>
      </c>
      <c r="H2" s="1">
        <v>8.27</v>
      </c>
      <c r="I2" s="1">
        <v>6.81</v>
      </c>
      <c r="J2" s="1">
        <v>16.53</v>
      </c>
      <c r="K2" s="1">
        <v>0</v>
      </c>
      <c r="L2" s="1">
        <v>0</v>
      </c>
      <c r="M2" s="1">
        <v>0</v>
      </c>
      <c r="N2" s="1">
        <v>16505.2</v>
      </c>
      <c r="O2" s="1">
        <v>36989.37</v>
      </c>
      <c r="P2" s="1">
        <v>7000</v>
      </c>
      <c r="Q2" s="1" t="str">
        <f>"0602175409"</f>
        <v>0602175409</v>
      </c>
      <c r="R2" s="1" t="str">
        <f t="shared" ref="R2:R38" si="1">"人民币"</f>
        <v>人民币</v>
      </c>
      <c r="S2" s="1" t="str">
        <f t="shared" ref="S2:S6" si="2">"T4000857"</f>
        <v>T4000857</v>
      </c>
    </row>
    <row r="3" spans="1:19">
      <c r="A3" s="1" t="str">
        <f t="shared" si="0"/>
        <v>20190415</v>
      </c>
      <c r="D3" s="1" t="str">
        <f t="shared" ref="D3:D10" si="3">"偿还融资利息"</f>
        <v>偿还融资利息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-47.04</v>
      </c>
      <c r="O3" s="1">
        <v>36942.33</v>
      </c>
      <c r="P3" s="1">
        <v>0</v>
      </c>
      <c r="R3" s="1" t="str">
        <f t="shared" si="1"/>
        <v>人民币</v>
      </c>
      <c r="S3" s="1" t="str">
        <f t="shared" si="2"/>
        <v>T4000857</v>
      </c>
    </row>
    <row r="4" spans="1:19">
      <c r="A4" s="1" t="str">
        <f t="shared" si="0"/>
        <v>20190415</v>
      </c>
      <c r="D4" s="1" t="str">
        <f>"偿还融资负债本金"</f>
        <v>偿还融资负债本金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-9663.61</v>
      </c>
      <c r="O4" s="1">
        <v>27278.72</v>
      </c>
      <c r="P4" s="1">
        <v>0</v>
      </c>
      <c r="R4" s="1" t="str">
        <f t="shared" si="1"/>
        <v>人民币</v>
      </c>
      <c r="S4" s="1" t="str">
        <f t="shared" si="2"/>
        <v>T4000857</v>
      </c>
    </row>
    <row r="5" spans="1:19">
      <c r="A5" s="1" t="str">
        <f t="shared" si="0"/>
        <v>20190415</v>
      </c>
      <c r="D5" s="1" t="str">
        <f t="shared" si="3"/>
        <v>偿还融资利息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-153.21</v>
      </c>
      <c r="O5" s="1">
        <v>27125.51</v>
      </c>
      <c r="P5" s="1">
        <v>0</v>
      </c>
      <c r="R5" s="1" t="str">
        <f t="shared" si="1"/>
        <v>人民币</v>
      </c>
      <c r="S5" s="1" t="str">
        <f t="shared" si="2"/>
        <v>T4000857</v>
      </c>
    </row>
    <row r="6" spans="1:19">
      <c r="A6" s="1" t="str">
        <f t="shared" si="0"/>
        <v>20190415</v>
      </c>
      <c r="D6" s="1" t="str">
        <f>"偿还融资负债本金"</f>
        <v>偿还融资负债本金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-6600.02</v>
      </c>
      <c r="O6" s="1">
        <v>20525.49</v>
      </c>
      <c r="P6" s="1">
        <v>0</v>
      </c>
      <c r="R6" s="1" t="str">
        <f t="shared" si="1"/>
        <v>人民币</v>
      </c>
      <c r="S6" s="1" t="str">
        <f t="shared" si="2"/>
        <v>T4000857</v>
      </c>
    </row>
    <row r="7" spans="1:19">
      <c r="A7" s="1" t="str">
        <f>"20190417"</f>
        <v>20190417</v>
      </c>
      <c r="B7" s="1" t="str">
        <f>"000768"</f>
        <v>000768</v>
      </c>
      <c r="C7" s="1" t="str">
        <f>"中航飞机"</f>
        <v>中航飞机</v>
      </c>
      <c r="D7" s="1" t="str">
        <f>"担保品买入"</f>
        <v>担保品买入</v>
      </c>
      <c r="E7" s="1">
        <v>17.41</v>
      </c>
      <c r="F7" s="1">
        <v>500</v>
      </c>
      <c r="G7" s="1">
        <v>8705</v>
      </c>
      <c r="H7" s="1">
        <v>5</v>
      </c>
      <c r="I7" s="1">
        <v>4.24</v>
      </c>
      <c r="J7" s="1">
        <v>0</v>
      </c>
      <c r="K7" s="1">
        <v>0</v>
      </c>
      <c r="L7" s="1">
        <v>0</v>
      </c>
      <c r="M7" s="1">
        <v>0</v>
      </c>
      <c r="N7" s="1">
        <v>-8710</v>
      </c>
      <c r="O7" s="1">
        <v>11815.49</v>
      </c>
      <c r="P7" s="1">
        <v>500</v>
      </c>
      <c r="Q7" s="1" t="str">
        <f>"0602175409"</f>
        <v>0602175409</v>
      </c>
      <c r="R7" s="1" t="str">
        <f t="shared" si="1"/>
        <v>人民币</v>
      </c>
      <c r="S7" s="1" t="str">
        <f>"T4001346"</f>
        <v>T4001346</v>
      </c>
    </row>
    <row r="8" spans="1:18">
      <c r="A8" s="1" t="str">
        <f t="shared" ref="A8:A10" si="4">"20190419"</f>
        <v>20190419</v>
      </c>
      <c r="D8" s="1" t="str">
        <f t="shared" si="3"/>
        <v>偿还融资利息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-23</v>
      </c>
      <c r="O8" s="1">
        <v>11792.49</v>
      </c>
      <c r="P8" s="1">
        <v>0</v>
      </c>
      <c r="R8" s="1" t="str">
        <f t="shared" si="1"/>
        <v>人民币</v>
      </c>
    </row>
    <row r="9" spans="1:18">
      <c r="A9" s="1" t="str">
        <f t="shared" si="4"/>
        <v>20190419</v>
      </c>
      <c r="D9" s="1" t="str">
        <f t="shared" si="3"/>
        <v>偿还融资利息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-92.1</v>
      </c>
      <c r="O9" s="1">
        <v>11700.39</v>
      </c>
      <c r="P9" s="1">
        <v>0</v>
      </c>
      <c r="R9" s="1" t="str">
        <f t="shared" si="1"/>
        <v>人民币</v>
      </c>
    </row>
    <row r="10" spans="1:18">
      <c r="A10" s="1" t="str">
        <f t="shared" si="4"/>
        <v>20190419</v>
      </c>
      <c r="D10" s="1" t="str">
        <f t="shared" si="3"/>
        <v>偿还融资利息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-93.5</v>
      </c>
      <c r="O10" s="1">
        <v>11606.89</v>
      </c>
      <c r="P10" s="1">
        <v>0</v>
      </c>
      <c r="R10" s="1" t="str">
        <f t="shared" si="1"/>
        <v>人民币</v>
      </c>
    </row>
    <row r="11" spans="1:19">
      <c r="A11" s="1" t="str">
        <f>"20190423"</f>
        <v>20190423</v>
      </c>
      <c r="B11" s="1" t="str">
        <f>"000543"</f>
        <v>000543</v>
      </c>
      <c r="C11" s="1" t="str">
        <f>"皖能电力"</f>
        <v>皖能电力</v>
      </c>
      <c r="D11" s="1" t="str">
        <f t="shared" ref="D11:D15" si="5">"融资买入"</f>
        <v>融资买入</v>
      </c>
      <c r="E11" s="1">
        <v>5.38</v>
      </c>
      <c r="F11" s="1">
        <v>3000</v>
      </c>
      <c r="G11" s="1">
        <v>16140</v>
      </c>
      <c r="H11" s="1">
        <v>8.07</v>
      </c>
      <c r="I11" s="1">
        <v>6.64</v>
      </c>
      <c r="J11" s="1">
        <v>0</v>
      </c>
      <c r="K11" s="1">
        <v>0</v>
      </c>
      <c r="L11" s="1">
        <v>0</v>
      </c>
      <c r="M11" s="1">
        <v>0</v>
      </c>
      <c r="N11" s="1">
        <v>-16148.07</v>
      </c>
      <c r="O11" s="1">
        <v>-4541.18</v>
      </c>
      <c r="P11" s="1">
        <v>10000</v>
      </c>
      <c r="Q11" s="1" t="str">
        <f>"0602175409"</f>
        <v>0602175409</v>
      </c>
      <c r="R11" s="1" t="str">
        <f t="shared" si="1"/>
        <v>人民币</v>
      </c>
      <c r="S11" s="1" t="str">
        <f>"T4000282"</f>
        <v>T4000282</v>
      </c>
    </row>
    <row r="12" spans="1:19">
      <c r="A12" s="1" t="str">
        <f>"20190423"</f>
        <v>20190423</v>
      </c>
      <c r="D12" s="1" t="str">
        <f t="shared" ref="D12:D16" si="6">"融资借入"</f>
        <v>融资借入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16148.07</v>
      </c>
      <c r="O12" s="1">
        <v>11606.89</v>
      </c>
      <c r="P12" s="1">
        <v>0</v>
      </c>
      <c r="R12" s="1" t="str">
        <f t="shared" si="1"/>
        <v>人民币</v>
      </c>
      <c r="S12" s="1" t="str">
        <f>"T4000282"</f>
        <v>T4000282</v>
      </c>
    </row>
    <row r="13" spans="1:19">
      <c r="A13" s="1" t="str">
        <f>"20190424"</f>
        <v>20190424</v>
      </c>
      <c r="B13" s="1" t="str">
        <f>"600066"</f>
        <v>600066</v>
      </c>
      <c r="C13" s="1" t="str">
        <f>"宇通客车"</f>
        <v>宇通客车</v>
      </c>
      <c r="D13" s="1" t="str">
        <f t="shared" si="5"/>
        <v>融资买入</v>
      </c>
      <c r="E13" s="1">
        <v>15.84</v>
      </c>
      <c r="F13" s="1">
        <v>500</v>
      </c>
      <c r="G13" s="1">
        <v>7920</v>
      </c>
      <c r="H13" s="1">
        <v>5</v>
      </c>
      <c r="I13" s="1">
        <v>4.45</v>
      </c>
      <c r="J13" s="1">
        <v>0</v>
      </c>
      <c r="K13" s="1">
        <v>0.16</v>
      </c>
      <c r="L13" s="1">
        <v>0</v>
      </c>
      <c r="M13" s="1">
        <v>0</v>
      </c>
      <c r="N13" s="1">
        <v>-7925.16</v>
      </c>
      <c r="O13" s="1">
        <v>3681.73</v>
      </c>
      <c r="P13" s="1">
        <v>500</v>
      </c>
      <c r="Q13" s="1" t="str">
        <f>"E021635187"</f>
        <v>E021635187</v>
      </c>
      <c r="R13" s="1" t="str">
        <f t="shared" si="1"/>
        <v>人民币</v>
      </c>
      <c r="S13" s="1" t="str">
        <f>"0136000561"</f>
        <v>0136000561</v>
      </c>
    </row>
    <row r="14" spans="1:19">
      <c r="A14" s="1" t="str">
        <f>"20190424"</f>
        <v>20190424</v>
      </c>
      <c r="D14" s="1" t="str">
        <f t="shared" si="6"/>
        <v>融资借入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7925.16</v>
      </c>
      <c r="O14" s="1">
        <v>11606.89</v>
      </c>
      <c r="P14" s="1">
        <v>0</v>
      </c>
      <c r="R14" s="1" t="str">
        <f t="shared" si="1"/>
        <v>人民币</v>
      </c>
      <c r="S14" s="1" t="str">
        <f>"0136000561"</f>
        <v>0136000561</v>
      </c>
    </row>
    <row r="15" spans="1:19">
      <c r="A15" s="1" t="str">
        <f>"20190507"</f>
        <v>20190507</v>
      </c>
      <c r="B15" s="1" t="str">
        <f>"002183"</f>
        <v>002183</v>
      </c>
      <c r="C15" s="1" t="str">
        <f>"怡 亚 通"</f>
        <v>怡 亚 通</v>
      </c>
      <c r="D15" s="1" t="str">
        <f t="shared" si="5"/>
        <v>融资买入</v>
      </c>
      <c r="E15" s="1">
        <v>5.02</v>
      </c>
      <c r="F15" s="1">
        <v>2500</v>
      </c>
      <c r="G15" s="1">
        <v>12550</v>
      </c>
      <c r="H15" s="1">
        <v>6.28</v>
      </c>
      <c r="I15" s="1">
        <v>5.17</v>
      </c>
      <c r="J15" s="1">
        <v>0</v>
      </c>
      <c r="K15" s="1">
        <v>0</v>
      </c>
      <c r="L15" s="1">
        <v>0</v>
      </c>
      <c r="M15" s="1">
        <v>0</v>
      </c>
      <c r="N15" s="1">
        <v>-12556.28</v>
      </c>
      <c r="O15" s="1">
        <v>-949.39</v>
      </c>
      <c r="P15" s="1">
        <v>10000</v>
      </c>
      <c r="Q15" s="1" t="str">
        <f t="shared" ref="Q15:Q18" si="7">"0602175409"</f>
        <v>0602175409</v>
      </c>
      <c r="R15" s="1" t="str">
        <f t="shared" si="1"/>
        <v>人民币</v>
      </c>
      <c r="S15" s="1" t="str">
        <f>"T4001105"</f>
        <v>T4001105</v>
      </c>
    </row>
    <row r="16" spans="1:19">
      <c r="A16" s="1" t="str">
        <f>"20190507"</f>
        <v>20190507</v>
      </c>
      <c r="D16" s="1" t="str">
        <f t="shared" si="6"/>
        <v>融资借入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12556.28</v>
      </c>
      <c r="O16" s="1">
        <v>11606.89</v>
      </c>
      <c r="P16" s="1">
        <v>0</v>
      </c>
      <c r="R16" s="1" t="str">
        <f t="shared" si="1"/>
        <v>人民币</v>
      </c>
      <c r="S16" s="1" t="str">
        <f>"T4001105"</f>
        <v>T4001105</v>
      </c>
    </row>
    <row r="17" spans="1:19">
      <c r="A17" s="1" t="str">
        <f t="shared" ref="A17:A19" si="8">"20190510"</f>
        <v>20190510</v>
      </c>
      <c r="B17" s="1" t="str">
        <f>"000768"</f>
        <v>000768</v>
      </c>
      <c r="C17" s="1" t="str">
        <f>"中航飞机"</f>
        <v>中航飞机</v>
      </c>
      <c r="D17" s="1" t="str">
        <f>"融资买入"</f>
        <v>融资买入</v>
      </c>
      <c r="E17" s="1">
        <v>15.77</v>
      </c>
      <c r="F17" s="1">
        <v>500</v>
      </c>
      <c r="G17" s="1">
        <v>7885</v>
      </c>
      <c r="H17" s="1">
        <v>5</v>
      </c>
      <c r="I17" s="1">
        <v>4.3</v>
      </c>
      <c r="J17" s="1">
        <v>0</v>
      </c>
      <c r="K17" s="1">
        <v>0</v>
      </c>
      <c r="L17" s="1">
        <v>0</v>
      </c>
      <c r="M17" s="1">
        <v>0</v>
      </c>
      <c r="N17" s="1">
        <v>-7890</v>
      </c>
      <c r="O17" s="1">
        <v>3716.89</v>
      </c>
      <c r="P17" s="1">
        <v>1000</v>
      </c>
      <c r="Q17" s="1" t="str">
        <f t="shared" si="7"/>
        <v>0602175409</v>
      </c>
      <c r="R17" s="1" t="str">
        <f t="shared" si="1"/>
        <v>人民币</v>
      </c>
      <c r="S17" s="1" t="str">
        <f>"T4001246"</f>
        <v>T4001246</v>
      </c>
    </row>
    <row r="18" spans="1:19">
      <c r="A18" s="1" t="str">
        <f t="shared" si="8"/>
        <v>20190510</v>
      </c>
      <c r="B18" s="1" t="str">
        <f>"000601"</f>
        <v>000601</v>
      </c>
      <c r="C18" s="1" t="str">
        <f>"韶能股份"</f>
        <v>韶能股份</v>
      </c>
      <c r="D18" s="1" t="str">
        <f>"担保品买入"</f>
        <v>担保品买入</v>
      </c>
      <c r="E18" s="1">
        <v>4.66</v>
      </c>
      <c r="F18" s="1">
        <v>2400</v>
      </c>
      <c r="G18" s="1">
        <v>11184</v>
      </c>
      <c r="H18" s="1">
        <v>5</v>
      </c>
      <c r="I18" s="1">
        <v>4.02</v>
      </c>
      <c r="J18" s="1">
        <v>0</v>
      </c>
      <c r="K18" s="1">
        <v>0</v>
      </c>
      <c r="L18" s="1">
        <v>0</v>
      </c>
      <c r="M18" s="1">
        <v>0</v>
      </c>
      <c r="N18" s="1">
        <v>-11189</v>
      </c>
      <c r="O18" s="1">
        <v>-7472.11</v>
      </c>
      <c r="P18" s="1">
        <v>37400</v>
      </c>
      <c r="Q18" s="1" t="str">
        <f t="shared" si="7"/>
        <v>0602175409</v>
      </c>
      <c r="R18" s="1" t="str">
        <f t="shared" si="1"/>
        <v>人民币</v>
      </c>
      <c r="S18" s="1" t="str">
        <f>"T4001258"</f>
        <v>T4001258</v>
      </c>
    </row>
    <row r="19" spans="1:19">
      <c r="A19" s="1" t="str">
        <f t="shared" si="8"/>
        <v>20190510</v>
      </c>
      <c r="D19" s="1" t="str">
        <f>"融资借入"</f>
        <v>融资借入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7890</v>
      </c>
      <c r="O19" s="1">
        <v>417.89</v>
      </c>
      <c r="P19" s="1">
        <v>0</v>
      </c>
      <c r="R19" s="1" t="str">
        <f t="shared" si="1"/>
        <v>人民币</v>
      </c>
      <c r="S19" s="1" t="str">
        <f>"T4001246"</f>
        <v>T4001246</v>
      </c>
    </row>
    <row r="20" spans="1:18">
      <c r="A20" s="1" t="str">
        <f>"20190514"</f>
        <v>20190514</v>
      </c>
      <c r="B20" s="1" t="str">
        <f>"600066"</f>
        <v>600066</v>
      </c>
      <c r="C20" s="1" t="str">
        <f>"宇通客车"</f>
        <v>宇通客车</v>
      </c>
      <c r="D20" s="1" t="str">
        <f>"红利入账"</f>
        <v>红利入账</v>
      </c>
      <c r="E20" s="1">
        <v>0</v>
      </c>
      <c r="F20" s="1">
        <v>500</v>
      </c>
      <c r="G20" s="1">
        <v>250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250</v>
      </c>
      <c r="O20" s="1">
        <v>667.89</v>
      </c>
      <c r="P20" s="1">
        <v>0</v>
      </c>
      <c r="Q20" s="1" t="str">
        <f>"E021635187"</f>
        <v>E021635187</v>
      </c>
      <c r="R20" s="1" t="str">
        <f t="shared" si="1"/>
        <v>人民币</v>
      </c>
    </row>
    <row r="21" spans="1:18">
      <c r="A21" s="1" t="str">
        <f t="shared" ref="A21:A27" si="9">"20190520"</f>
        <v>20190520</v>
      </c>
      <c r="D21" s="1" t="str">
        <f t="shared" ref="D21:D27" si="10">"偿还融资利息"</f>
        <v>偿还融资利息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-142.54</v>
      </c>
      <c r="O21" s="1">
        <v>525.35</v>
      </c>
      <c r="P21" s="1">
        <v>0</v>
      </c>
      <c r="R21" s="1" t="str">
        <f t="shared" si="1"/>
        <v>人民币</v>
      </c>
    </row>
    <row r="22" spans="1:18">
      <c r="A22" s="1" t="str">
        <f t="shared" si="9"/>
        <v>20190520</v>
      </c>
      <c r="D22" s="1" t="str">
        <f t="shared" si="10"/>
        <v>偿还融资利息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-95.16</v>
      </c>
      <c r="O22" s="1">
        <v>430.19</v>
      </c>
      <c r="P22" s="1">
        <v>0</v>
      </c>
      <c r="R22" s="1" t="str">
        <f t="shared" si="1"/>
        <v>人民币</v>
      </c>
    </row>
    <row r="23" spans="1:18">
      <c r="A23" s="1" t="str">
        <f t="shared" si="9"/>
        <v>20190520</v>
      </c>
      <c r="D23" s="1" t="str">
        <f t="shared" si="10"/>
        <v>偿还融资利息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-115.93</v>
      </c>
      <c r="O23" s="1">
        <v>314.26</v>
      </c>
      <c r="P23" s="1">
        <v>0</v>
      </c>
      <c r="R23" s="1" t="str">
        <f t="shared" si="1"/>
        <v>人民币</v>
      </c>
    </row>
    <row r="24" spans="1:18">
      <c r="A24" s="1" t="str">
        <f t="shared" si="9"/>
        <v>20190520</v>
      </c>
      <c r="D24" s="1" t="str">
        <f t="shared" si="10"/>
        <v>偿还融资利息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-104.95</v>
      </c>
      <c r="O24" s="1">
        <v>209.31</v>
      </c>
      <c r="P24" s="1">
        <v>0</v>
      </c>
      <c r="R24" s="1" t="str">
        <f t="shared" si="1"/>
        <v>人民币</v>
      </c>
    </row>
    <row r="25" spans="1:18">
      <c r="A25" s="1" t="str">
        <f t="shared" si="9"/>
        <v>20190520</v>
      </c>
      <c r="D25" s="1" t="str">
        <f t="shared" si="10"/>
        <v>偿还融资利息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-49.67</v>
      </c>
      <c r="O25" s="1">
        <v>159.64</v>
      </c>
      <c r="P25" s="1">
        <v>0</v>
      </c>
      <c r="R25" s="1" t="str">
        <f t="shared" si="1"/>
        <v>人民币</v>
      </c>
    </row>
    <row r="26" spans="1:18">
      <c r="A26" s="1" t="str">
        <f t="shared" si="9"/>
        <v>20190520</v>
      </c>
      <c r="D26" s="1" t="str">
        <f t="shared" si="10"/>
        <v>偿还融资利息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-40.74</v>
      </c>
      <c r="O26" s="1">
        <v>118.9</v>
      </c>
      <c r="P26" s="1">
        <v>0</v>
      </c>
      <c r="R26" s="1" t="str">
        <f t="shared" si="1"/>
        <v>人民币</v>
      </c>
    </row>
    <row r="27" spans="1:18">
      <c r="A27" s="1" t="str">
        <f t="shared" si="9"/>
        <v>20190520</v>
      </c>
      <c r="D27" s="1" t="str">
        <f t="shared" si="10"/>
        <v>偿还融资利息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-20.13</v>
      </c>
      <c r="O27" s="1">
        <v>98.77</v>
      </c>
      <c r="P27" s="1">
        <v>0</v>
      </c>
      <c r="R27" s="1" t="str">
        <f t="shared" si="1"/>
        <v>人民币</v>
      </c>
    </row>
    <row r="28" spans="1:18">
      <c r="A28" s="1" t="str">
        <f>"20190530"</f>
        <v>20190530</v>
      </c>
      <c r="B28" s="1" t="str">
        <f>"000543"</f>
        <v>000543</v>
      </c>
      <c r="C28" s="1" t="str">
        <f>"皖能电力"</f>
        <v>皖能电力</v>
      </c>
      <c r="D28" s="1" t="str">
        <f>"红利入账"</f>
        <v>红利入账</v>
      </c>
      <c r="E28" s="1">
        <v>0</v>
      </c>
      <c r="F28" s="1">
        <v>0</v>
      </c>
      <c r="G28" s="1">
        <v>440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440</v>
      </c>
      <c r="O28" s="1">
        <v>538.77</v>
      </c>
      <c r="P28" s="1">
        <v>0</v>
      </c>
      <c r="Q28" s="1" t="str">
        <f>"0602175409"</f>
        <v>0602175409</v>
      </c>
      <c r="R28" s="1" t="str">
        <f t="shared" si="1"/>
        <v>人民币</v>
      </c>
    </row>
    <row r="29" spans="1:18">
      <c r="A29" s="1" t="str">
        <f>"20190619"</f>
        <v>20190619</v>
      </c>
      <c r="B29" s="1" t="str">
        <f>"000768"</f>
        <v>000768</v>
      </c>
      <c r="C29" s="1" t="str">
        <f>"中航飞机"</f>
        <v>中航飞机</v>
      </c>
      <c r="D29" s="1" t="str">
        <f>"红利入账"</f>
        <v>红利入账</v>
      </c>
      <c r="E29" s="1">
        <v>0</v>
      </c>
      <c r="F29" s="1">
        <v>0</v>
      </c>
      <c r="G29" s="1">
        <v>100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100</v>
      </c>
      <c r="O29" s="1">
        <v>638.77</v>
      </c>
      <c r="P29" s="1">
        <v>0</v>
      </c>
      <c r="Q29" s="1" t="str">
        <f>"0602175409"</f>
        <v>0602175409</v>
      </c>
      <c r="R29" s="1" t="str">
        <f t="shared" si="1"/>
        <v>人民币</v>
      </c>
    </row>
    <row r="30" spans="1:18">
      <c r="A30" s="1" t="str">
        <f t="shared" ref="A30:A37" si="11">"20190620"</f>
        <v>20190620</v>
      </c>
      <c r="D30" s="1" t="str">
        <f>"利息归本"</f>
        <v>利息归本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8.59</v>
      </c>
      <c r="O30" s="1">
        <v>647.36</v>
      </c>
      <c r="P30" s="1">
        <v>0</v>
      </c>
      <c r="R30" s="1" t="str">
        <f t="shared" si="1"/>
        <v>人民币</v>
      </c>
    </row>
    <row r="31" spans="1:18">
      <c r="A31" s="1" t="str">
        <f t="shared" si="11"/>
        <v>20190620</v>
      </c>
      <c r="D31" s="1" t="str">
        <f t="shared" ref="D31:D37" si="12">"偿还融资利息"</f>
        <v>偿还融资利息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-115.94</v>
      </c>
      <c r="O31" s="1">
        <v>531.42</v>
      </c>
      <c r="P31" s="1">
        <v>0</v>
      </c>
      <c r="R31" s="1" t="str">
        <f t="shared" si="1"/>
        <v>人民币</v>
      </c>
    </row>
    <row r="32" spans="1:18">
      <c r="A32" s="1" t="str">
        <f t="shared" si="11"/>
        <v>20190620</v>
      </c>
      <c r="D32" s="1" t="str">
        <f t="shared" si="12"/>
        <v>偿还融资利息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-116.21</v>
      </c>
      <c r="O32" s="1">
        <v>415.21</v>
      </c>
      <c r="P32" s="1">
        <v>0</v>
      </c>
      <c r="R32" s="1" t="str">
        <f t="shared" si="1"/>
        <v>人民币</v>
      </c>
    </row>
    <row r="33" spans="1:18">
      <c r="A33" s="1" t="str">
        <f t="shared" si="11"/>
        <v>20190620</v>
      </c>
      <c r="D33" s="1" t="str">
        <f t="shared" si="12"/>
        <v>偿还融资利息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-57.03</v>
      </c>
      <c r="O33" s="1">
        <v>358.18</v>
      </c>
      <c r="P33" s="1">
        <v>0</v>
      </c>
      <c r="R33" s="1" t="str">
        <f t="shared" si="1"/>
        <v>人民币</v>
      </c>
    </row>
    <row r="34" spans="1:18">
      <c r="A34" s="1" t="str">
        <f t="shared" si="11"/>
        <v>20190620</v>
      </c>
      <c r="D34" s="1" t="str">
        <f t="shared" si="12"/>
        <v>偿还融资利息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-90.22</v>
      </c>
      <c r="O34" s="1">
        <v>267.96</v>
      </c>
      <c r="P34" s="1">
        <v>0</v>
      </c>
      <c r="R34" s="1" t="str">
        <f t="shared" si="1"/>
        <v>人民币</v>
      </c>
    </row>
    <row r="35" spans="1:18">
      <c r="A35" s="1" t="str">
        <f t="shared" si="11"/>
        <v>20190620</v>
      </c>
      <c r="D35" s="1" t="str">
        <f t="shared" si="12"/>
        <v>偿还融资利息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-56.73</v>
      </c>
      <c r="O35" s="1">
        <v>211.23</v>
      </c>
      <c r="P35" s="1">
        <v>0</v>
      </c>
      <c r="R35" s="1" t="str">
        <f t="shared" si="1"/>
        <v>人民币</v>
      </c>
    </row>
    <row r="36" spans="1:18">
      <c r="A36" s="1" t="str">
        <f t="shared" si="11"/>
        <v>20190620</v>
      </c>
      <c r="D36" s="1" t="str">
        <f t="shared" si="12"/>
        <v>偿还融资利息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-142.6</v>
      </c>
      <c r="O36" s="1">
        <v>68.63</v>
      </c>
      <c r="P36" s="1">
        <v>0</v>
      </c>
      <c r="R36" s="1" t="str">
        <f t="shared" si="1"/>
        <v>人民币</v>
      </c>
    </row>
    <row r="37" spans="1:18">
      <c r="A37" s="1" t="str">
        <f t="shared" si="11"/>
        <v>20190620</v>
      </c>
      <c r="D37" s="1" t="str">
        <f t="shared" si="12"/>
        <v>偿还融资利息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-68.63</v>
      </c>
      <c r="O37" s="1">
        <v>0</v>
      </c>
      <c r="P37" s="1">
        <v>0</v>
      </c>
      <c r="R37" s="1" t="str">
        <f t="shared" si="1"/>
        <v>人民币</v>
      </c>
    </row>
    <row r="38" spans="1:18">
      <c r="A38" s="1" t="str">
        <f>"20190626"</f>
        <v>20190626</v>
      </c>
      <c r="B38" s="1" t="str">
        <f>"002183"</f>
        <v>002183</v>
      </c>
      <c r="C38" s="1" t="str">
        <f>"怡 亚 通"</f>
        <v>怡 亚 通</v>
      </c>
      <c r="D38" s="1" t="str">
        <f>"红利入账"</f>
        <v>红利入账</v>
      </c>
      <c r="E38" s="1">
        <v>0</v>
      </c>
      <c r="F38" s="1">
        <v>0</v>
      </c>
      <c r="G38" s="1">
        <v>200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200</v>
      </c>
      <c r="O38" s="1">
        <v>200</v>
      </c>
      <c r="P38" s="1">
        <v>0</v>
      </c>
      <c r="Q38" s="1" t="str">
        <f>"0602175409"</f>
        <v>0602175409</v>
      </c>
      <c r="R38" s="1" t="str">
        <f t="shared" si="1"/>
        <v>人民币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7"/>
  <sheetViews>
    <sheetView topLeftCell="A64" workbookViewId="0">
      <selection activeCell="A2" sqref="A2:P77"/>
    </sheetView>
  </sheetViews>
  <sheetFormatPr defaultColWidth="9" defaultRowHeight="13.5"/>
  <cols>
    <col min="1" max="16384" width="9" style="1"/>
  </cols>
  <sheetData>
    <row r="1" spans="1:19">
      <c r="A1" s="1" t="str">
        <f>"交割日期"</f>
        <v>交割日期</v>
      </c>
      <c r="B1" s="1" t="str">
        <f>"证券代码"</f>
        <v>证券代码</v>
      </c>
      <c r="C1" s="1" t="str">
        <f>"证券名称"</f>
        <v>证券名称</v>
      </c>
      <c r="D1" s="1" t="str">
        <f>"业务名称"</f>
        <v>业务名称</v>
      </c>
      <c r="E1" s="1" t="str">
        <f>"成交价格"</f>
        <v>成交价格</v>
      </c>
      <c r="F1" s="1" t="str">
        <f>"成交数量"</f>
        <v>成交数量</v>
      </c>
      <c r="G1" s="1" t="str">
        <f>"成交金额"</f>
        <v>成交金额</v>
      </c>
      <c r="H1" s="1" t="str">
        <f>"手续费"</f>
        <v>手续费</v>
      </c>
      <c r="I1" s="1" t="str">
        <f>"净佣金"</f>
        <v>净佣金</v>
      </c>
      <c r="J1" s="1" t="str">
        <f>"印花税"</f>
        <v>印花税</v>
      </c>
      <c r="K1" s="1" t="str">
        <f>"过户费"</f>
        <v>过户费</v>
      </c>
      <c r="L1" s="1" t="str">
        <f>"结算费"</f>
        <v>结算费</v>
      </c>
      <c r="M1" s="1" t="str">
        <f>"其他费"</f>
        <v>其他费</v>
      </c>
      <c r="N1" s="1" t="str">
        <f>"发生金额"</f>
        <v>发生金额</v>
      </c>
      <c r="O1" s="1" t="str">
        <f>"剩余金额"</f>
        <v>剩余金额</v>
      </c>
      <c r="P1" s="1" t="str">
        <f>"证券数量"</f>
        <v>证券数量</v>
      </c>
      <c r="Q1" s="1" t="str">
        <f>"股东代码"</f>
        <v>股东代码</v>
      </c>
      <c r="R1" s="1" t="str">
        <f>"币种"</f>
        <v>币种</v>
      </c>
      <c r="S1" s="1" t="str">
        <f>"成交编号"</f>
        <v>成交编号</v>
      </c>
    </row>
    <row r="2" spans="1:19">
      <c r="A2" s="1" t="str">
        <f t="shared" ref="A2:A8" si="0">"20190719"</f>
        <v>20190719</v>
      </c>
      <c r="B2" s="1" t="str">
        <f>"000768"</f>
        <v>000768</v>
      </c>
      <c r="C2" s="1" t="str">
        <f>"中航飞机"</f>
        <v>中航飞机</v>
      </c>
      <c r="D2" s="1" t="str">
        <f>"卖券还款"</f>
        <v>卖券还款</v>
      </c>
      <c r="E2" s="1">
        <v>16</v>
      </c>
      <c r="F2" s="1">
        <v>500</v>
      </c>
      <c r="G2" s="1">
        <v>8000</v>
      </c>
      <c r="H2" s="1">
        <v>5</v>
      </c>
      <c r="I2" s="1">
        <v>4.29</v>
      </c>
      <c r="J2" s="1">
        <v>8</v>
      </c>
      <c r="K2" s="1">
        <v>0</v>
      </c>
      <c r="L2" s="1">
        <v>0</v>
      </c>
      <c r="M2" s="1">
        <v>0</v>
      </c>
      <c r="N2" s="1">
        <v>7987</v>
      </c>
      <c r="O2" s="1">
        <v>8187</v>
      </c>
      <c r="P2" s="1">
        <v>500</v>
      </c>
      <c r="Q2" s="1" t="str">
        <f>"0602175409"</f>
        <v>0602175409</v>
      </c>
      <c r="R2" s="1" t="str">
        <f t="shared" ref="R2:R65" si="1">"人民币"</f>
        <v>人民币</v>
      </c>
      <c r="S2" s="1" t="str">
        <f>"T4000601"</f>
        <v>T4000601</v>
      </c>
    </row>
    <row r="3" spans="1:19">
      <c r="A3" s="1" t="str">
        <f t="shared" si="0"/>
        <v>20190719</v>
      </c>
      <c r="D3" s="1" t="str">
        <f t="shared" ref="D3:D8" si="2">"偿还融资利息"</f>
        <v>偿还融资利息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-104.72</v>
      </c>
      <c r="O3" s="1">
        <v>8082.28</v>
      </c>
      <c r="P3" s="1">
        <v>0</v>
      </c>
      <c r="R3" s="1" t="str">
        <f t="shared" si="1"/>
        <v>人民币</v>
      </c>
      <c r="S3" s="1" t="str">
        <f>"T4000601"</f>
        <v>T4000601</v>
      </c>
    </row>
    <row r="4" spans="1:19">
      <c r="A4" s="1" t="str">
        <f t="shared" si="0"/>
        <v>20190719</v>
      </c>
      <c r="D4" s="1" t="str">
        <f>"偿还融资负债本金"</f>
        <v>偿还融资负债本金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-7863.28</v>
      </c>
      <c r="O4" s="1">
        <v>219</v>
      </c>
      <c r="P4" s="1">
        <v>0</v>
      </c>
      <c r="R4" s="1" t="str">
        <f t="shared" si="1"/>
        <v>人民币</v>
      </c>
      <c r="S4" s="1" t="str">
        <f>"T4000601"</f>
        <v>T4000601</v>
      </c>
    </row>
    <row r="5" spans="1:18">
      <c r="A5" s="1" t="str">
        <f t="shared" si="0"/>
        <v>20190719</v>
      </c>
      <c r="D5" s="1" t="str">
        <f t="shared" si="2"/>
        <v>偿还融资利息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-1.91</v>
      </c>
      <c r="O5" s="1">
        <v>217.09</v>
      </c>
      <c r="P5" s="1">
        <v>0</v>
      </c>
      <c r="R5" s="1" t="str">
        <f t="shared" si="1"/>
        <v>人民币</v>
      </c>
    </row>
    <row r="6" spans="1:18">
      <c r="A6" s="1" t="str">
        <f t="shared" si="0"/>
        <v>20190719</v>
      </c>
      <c r="D6" s="1" t="str">
        <f t="shared" si="2"/>
        <v>偿还融资利息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-108.71</v>
      </c>
      <c r="O6" s="1">
        <v>108.38</v>
      </c>
      <c r="P6" s="1">
        <v>0</v>
      </c>
      <c r="R6" s="1" t="str">
        <f t="shared" si="1"/>
        <v>人民币</v>
      </c>
    </row>
    <row r="7" spans="1:18">
      <c r="A7" s="1" t="str">
        <f t="shared" si="0"/>
        <v>20190719</v>
      </c>
      <c r="D7" s="1" t="str">
        <f t="shared" si="2"/>
        <v>偿还融资利息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-53.36</v>
      </c>
      <c r="O7" s="1">
        <v>55.02</v>
      </c>
      <c r="P7" s="1">
        <v>0</v>
      </c>
      <c r="R7" s="1" t="str">
        <f t="shared" si="1"/>
        <v>人民币</v>
      </c>
    </row>
    <row r="8" spans="1:18">
      <c r="A8" s="1" t="str">
        <f t="shared" si="0"/>
        <v>20190719</v>
      </c>
      <c r="D8" s="1" t="str">
        <f t="shared" si="2"/>
        <v>偿还融资利息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-55.02</v>
      </c>
      <c r="O8" s="1">
        <v>0</v>
      </c>
      <c r="P8" s="1">
        <v>0</v>
      </c>
      <c r="R8" s="1" t="str">
        <f t="shared" si="1"/>
        <v>人民币</v>
      </c>
    </row>
    <row r="9" spans="1:19">
      <c r="A9" s="1" t="str">
        <f>"20190722"</f>
        <v>20190722</v>
      </c>
      <c r="B9" s="1" t="str">
        <f>"000768"</f>
        <v>000768</v>
      </c>
      <c r="C9" s="1" t="str">
        <f>"中航飞机"</f>
        <v>中航飞机</v>
      </c>
      <c r="D9" s="1" t="str">
        <f>"融资买入"</f>
        <v>融资买入</v>
      </c>
      <c r="E9" s="1">
        <v>15.64</v>
      </c>
      <c r="F9" s="1">
        <v>500</v>
      </c>
      <c r="G9" s="1">
        <v>7820</v>
      </c>
      <c r="H9" s="1">
        <v>5</v>
      </c>
      <c r="I9" s="1">
        <v>4.3</v>
      </c>
      <c r="J9" s="1">
        <v>0</v>
      </c>
      <c r="K9" s="1">
        <v>0</v>
      </c>
      <c r="L9" s="1">
        <v>0</v>
      </c>
      <c r="M9" s="1">
        <v>0</v>
      </c>
      <c r="N9" s="1">
        <v>-7825</v>
      </c>
      <c r="O9" s="1">
        <v>-7825</v>
      </c>
      <c r="P9" s="1">
        <v>1000</v>
      </c>
      <c r="Q9" s="1" t="str">
        <f>"0602175409"</f>
        <v>0602175409</v>
      </c>
      <c r="R9" s="1" t="str">
        <f t="shared" si="1"/>
        <v>人民币</v>
      </c>
      <c r="S9" s="1" t="str">
        <f>"T4000462"</f>
        <v>T4000462</v>
      </c>
    </row>
    <row r="10" spans="1:19">
      <c r="A10" s="1" t="str">
        <f>"20190722"</f>
        <v>20190722</v>
      </c>
      <c r="D10" s="1" t="str">
        <f>"融资借入"</f>
        <v>融资借入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7825</v>
      </c>
      <c r="O10" s="1">
        <v>0</v>
      </c>
      <c r="P10" s="1">
        <v>0</v>
      </c>
      <c r="R10" s="1" t="str">
        <f t="shared" si="1"/>
        <v>人民币</v>
      </c>
      <c r="S10" s="1" t="str">
        <f>"T4000462"</f>
        <v>T4000462</v>
      </c>
    </row>
    <row r="11" spans="1:18">
      <c r="A11" s="1" t="str">
        <f t="shared" ref="A11:A14" si="3">"20190729"</f>
        <v>20190729</v>
      </c>
      <c r="B11" s="1" t="str">
        <f>"600886"</f>
        <v>600886</v>
      </c>
      <c r="C11" s="1" t="str">
        <f>"国投电力"</f>
        <v>国投电力</v>
      </c>
      <c r="D11" s="1" t="str">
        <f>"红利入账"</f>
        <v>红利入账</v>
      </c>
      <c r="E11" s="1">
        <v>0</v>
      </c>
      <c r="F11" s="1">
        <v>2800</v>
      </c>
      <c r="G11" s="1">
        <v>630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630</v>
      </c>
      <c r="O11" s="1">
        <v>630</v>
      </c>
      <c r="P11" s="1">
        <v>0</v>
      </c>
      <c r="Q11" s="1" t="str">
        <f>"E021635187"</f>
        <v>E021635187</v>
      </c>
      <c r="R11" s="1" t="str">
        <f t="shared" si="1"/>
        <v>人民币</v>
      </c>
    </row>
    <row r="12" spans="1:19">
      <c r="A12" s="1" t="str">
        <f t="shared" si="3"/>
        <v>20190729</v>
      </c>
      <c r="B12" s="1" t="str">
        <f t="shared" ref="B12:B16" si="4">"000768"</f>
        <v>000768</v>
      </c>
      <c r="C12" s="1" t="str">
        <f t="shared" ref="C12:C16" si="5">"中航飞机"</f>
        <v>中航飞机</v>
      </c>
      <c r="D12" s="1" t="str">
        <f>"卖券还款"</f>
        <v>卖券还款</v>
      </c>
      <c r="E12" s="1">
        <v>16.53</v>
      </c>
      <c r="F12" s="1">
        <v>500</v>
      </c>
      <c r="G12" s="1">
        <v>8265</v>
      </c>
      <c r="H12" s="1">
        <v>5</v>
      </c>
      <c r="I12" s="1">
        <v>4.26</v>
      </c>
      <c r="J12" s="1">
        <v>8.27</v>
      </c>
      <c r="K12" s="1">
        <v>0</v>
      </c>
      <c r="L12" s="1">
        <v>0</v>
      </c>
      <c r="M12" s="1">
        <v>0</v>
      </c>
      <c r="N12" s="1">
        <v>8251.73</v>
      </c>
      <c r="O12" s="1">
        <v>8881.73</v>
      </c>
      <c r="P12" s="1">
        <v>500</v>
      </c>
      <c r="Q12" s="1" t="str">
        <f t="shared" ref="Q12:Q16" si="6">"0602175409"</f>
        <v>0602175409</v>
      </c>
      <c r="R12" s="1" t="str">
        <f t="shared" si="1"/>
        <v>人民币</v>
      </c>
      <c r="S12" s="1" t="str">
        <f t="shared" ref="S12:S14" si="7">"T4000334"</f>
        <v>T4000334</v>
      </c>
    </row>
    <row r="13" spans="1:19">
      <c r="A13" s="1" t="str">
        <f t="shared" si="3"/>
        <v>20190729</v>
      </c>
      <c r="D13" s="1" t="str">
        <f>"偿还融资利息"</f>
        <v>偿还融资利息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-17.21</v>
      </c>
      <c r="O13" s="1">
        <v>8864.52</v>
      </c>
      <c r="P13" s="1">
        <v>0</v>
      </c>
      <c r="R13" s="1" t="str">
        <f t="shared" si="1"/>
        <v>人民币</v>
      </c>
      <c r="S13" s="1" t="str">
        <f t="shared" si="7"/>
        <v>T4000334</v>
      </c>
    </row>
    <row r="14" spans="1:19">
      <c r="A14" s="1" t="str">
        <f t="shared" si="3"/>
        <v>20190729</v>
      </c>
      <c r="D14" s="1" t="str">
        <f>"偿还融资负债本金"</f>
        <v>偿还融资负债本金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-8214.62</v>
      </c>
      <c r="O14" s="1">
        <v>649.9</v>
      </c>
      <c r="P14" s="1">
        <v>0</v>
      </c>
      <c r="R14" s="1" t="str">
        <f t="shared" si="1"/>
        <v>人民币</v>
      </c>
      <c r="S14" s="1" t="str">
        <f t="shared" si="7"/>
        <v>T4000334</v>
      </c>
    </row>
    <row r="15" spans="1:18">
      <c r="A15" s="1" t="str">
        <f t="shared" ref="A15:A20" si="8">"20190730"</f>
        <v>20190730</v>
      </c>
      <c r="B15" s="1" t="str">
        <f t="shared" si="4"/>
        <v>000768</v>
      </c>
      <c r="C15" s="1" t="str">
        <f t="shared" si="5"/>
        <v>中航飞机</v>
      </c>
      <c r="D15" s="1" t="str">
        <f>"股息红利差异扣税"</f>
        <v>股息红利差异扣税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-5</v>
      </c>
      <c r="O15" s="1">
        <v>644.9</v>
      </c>
      <c r="P15" s="1">
        <v>0</v>
      </c>
      <c r="Q15" s="1" t="str">
        <f t="shared" si="6"/>
        <v>0602175409</v>
      </c>
      <c r="R15" s="1" t="str">
        <f t="shared" si="1"/>
        <v>人民币</v>
      </c>
    </row>
    <row r="16" spans="1:18">
      <c r="A16" s="1" t="str">
        <f t="shared" si="8"/>
        <v>20190730</v>
      </c>
      <c r="B16" s="1" t="str">
        <f t="shared" si="4"/>
        <v>000768</v>
      </c>
      <c r="C16" s="1" t="str">
        <f t="shared" si="5"/>
        <v>中航飞机</v>
      </c>
      <c r="D16" s="1" t="str">
        <f>"股息红利差异扣税"</f>
        <v>股息红利差异扣税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-5</v>
      </c>
      <c r="O16" s="1">
        <v>639.9</v>
      </c>
      <c r="P16" s="1">
        <v>0</v>
      </c>
      <c r="Q16" s="1" t="str">
        <f t="shared" si="6"/>
        <v>0602175409</v>
      </c>
      <c r="R16" s="1" t="str">
        <f t="shared" si="1"/>
        <v>人民币</v>
      </c>
    </row>
    <row r="17" spans="1:18">
      <c r="A17" s="1" t="str">
        <f t="shared" si="8"/>
        <v>20190730</v>
      </c>
      <c r="D17" s="1" t="str">
        <f>"偿还融资利息"</f>
        <v>偿还融资利息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-0.01</v>
      </c>
      <c r="O17" s="1">
        <v>639.89</v>
      </c>
      <c r="P17" s="1">
        <v>0</v>
      </c>
      <c r="R17" s="1" t="str">
        <f t="shared" si="1"/>
        <v>人民币</v>
      </c>
    </row>
    <row r="18" spans="1:18">
      <c r="A18" s="1" t="str">
        <f t="shared" si="8"/>
        <v>20190730</v>
      </c>
      <c r="D18" s="1" t="str">
        <f>"偿还融资负债本金"</f>
        <v>偿还融资负债本金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-40.16</v>
      </c>
      <c r="O18" s="1">
        <v>599.73</v>
      </c>
      <c r="P18" s="1">
        <v>0</v>
      </c>
      <c r="R18" s="1" t="str">
        <f t="shared" si="1"/>
        <v>人民币</v>
      </c>
    </row>
    <row r="19" spans="1:18">
      <c r="A19" s="1" t="str">
        <f t="shared" si="8"/>
        <v>20190730</v>
      </c>
      <c r="D19" s="1" t="str">
        <f>"偿还融资利息"</f>
        <v>偿还融资利息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-37.48</v>
      </c>
      <c r="O19" s="1">
        <v>562.25</v>
      </c>
      <c r="P19" s="1">
        <v>0</v>
      </c>
      <c r="R19" s="1" t="str">
        <f t="shared" si="1"/>
        <v>人民币</v>
      </c>
    </row>
    <row r="20" spans="1:18">
      <c r="A20" s="1" t="str">
        <f t="shared" si="8"/>
        <v>20190730</v>
      </c>
      <c r="D20" s="1" t="str">
        <f>"偿还融资负债本金"</f>
        <v>偿还融资负债本金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-561.35</v>
      </c>
      <c r="O20" s="1">
        <v>0.9</v>
      </c>
      <c r="P20" s="1">
        <v>0</v>
      </c>
      <c r="R20" s="1" t="str">
        <f t="shared" si="1"/>
        <v>人民币</v>
      </c>
    </row>
    <row r="21" spans="1:19">
      <c r="A21" s="1" t="str">
        <f>"20190806"</f>
        <v>20190806</v>
      </c>
      <c r="B21" s="1" t="str">
        <f>"000768"</f>
        <v>000768</v>
      </c>
      <c r="C21" s="1" t="str">
        <f>"中航飞机"</f>
        <v>中航飞机</v>
      </c>
      <c r="D21" s="1" t="str">
        <f>"融资买入"</f>
        <v>融资买入</v>
      </c>
      <c r="E21" s="1">
        <v>15.59</v>
      </c>
      <c r="F21" s="1">
        <v>500</v>
      </c>
      <c r="G21" s="1">
        <v>7795</v>
      </c>
      <c r="H21" s="1">
        <v>5</v>
      </c>
      <c r="I21" s="1">
        <v>4.29</v>
      </c>
      <c r="J21" s="1">
        <v>0</v>
      </c>
      <c r="K21" s="1">
        <v>0</v>
      </c>
      <c r="L21" s="1">
        <v>0</v>
      </c>
      <c r="M21" s="1">
        <v>0</v>
      </c>
      <c r="N21" s="1">
        <v>-7800</v>
      </c>
      <c r="O21" s="1">
        <v>-7799.1</v>
      </c>
      <c r="P21" s="1">
        <v>1000</v>
      </c>
      <c r="Q21" s="1" t="str">
        <f>"0602175409"</f>
        <v>0602175409</v>
      </c>
      <c r="R21" s="1" t="str">
        <f t="shared" si="1"/>
        <v>人民币</v>
      </c>
      <c r="S21" s="1" t="str">
        <f>"T4000579"</f>
        <v>T4000579</v>
      </c>
    </row>
    <row r="22" spans="1:19">
      <c r="A22" s="1" t="str">
        <f>"20190806"</f>
        <v>20190806</v>
      </c>
      <c r="D22" s="1" t="str">
        <f>"融资借入"</f>
        <v>融资借入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7800</v>
      </c>
      <c r="O22" s="1">
        <v>0.9</v>
      </c>
      <c r="P22" s="1">
        <v>0</v>
      </c>
      <c r="R22" s="1" t="str">
        <f t="shared" si="1"/>
        <v>人民币</v>
      </c>
      <c r="S22" s="1" t="str">
        <f>"T4000579"</f>
        <v>T4000579</v>
      </c>
    </row>
    <row r="23" spans="1:18">
      <c r="A23" s="1" t="str">
        <f>"20190808"</f>
        <v>20190808</v>
      </c>
      <c r="B23" s="1" t="str">
        <f>"000601"</f>
        <v>000601</v>
      </c>
      <c r="C23" s="1" t="str">
        <f>"韶能股份"</f>
        <v>韶能股份</v>
      </c>
      <c r="D23" s="1" t="str">
        <f>"红利入账"</f>
        <v>红利入账</v>
      </c>
      <c r="E23" s="1">
        <v>0</v>
      </c>
      <c r="F23" s="1">
        <v>0</v>
      </c>
      <c r="G23" s="1">
        <v>5610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5610</v>
      </c>
      <c r="O23" s="1">
        <v>5610.9</v>
      </c>
      <c r="P23" s="1">
        <v>0</v>
      </c>
      <c r="Q23" s="1" t="str">
        <f t="shared" ref="Q23:Q28" si="9">"0602175409"</f>
        <v>0602175409</v>
      </c>
      <c r="R23" s="1" t="str">
        <f t="shared" si="1"/>
        <v>人民币</v>
      </c>
    </row>
    <row r="24" spans="1:18">
      <c r="A24" s="1" t="str">
        <f>"20190809"</f>
        <v>20190809</v>
      </c>
      <c r="D24" s="1" t="str">
        <f>"偿还融资利息"</f>
        <v>偿还融资利息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-36.19</v>
      </c>
      <c r="O24" s="1">
        <v>5574.71</v>
      </c>
      <c r="P24" s="1">
        <v>0</v>
      </c>
      <c r="R24" s="1" t="str">
        <f t="shared" si="1"/>
        <v>人民币</v>
      </c>
    </row>
    <row r="25" spans="1:18">
      <c r="A25" s="1" t="str">
        <f>"20190809"</f>
        <v>20190809</v>
      </c>
      <c r="D25" s="1" t="str">
        <f>"偿还融资负债本金"</f>
        <v>偿还融资负债本金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-5573.81</v>
      </c>
      <c r="O25" s="1">
        <v>0.9</v>
      </c>
      <c r="P25" s="1">
        <v>0</v>
      </c>
      <c r="R25" s="1" t="str">
        <f t="shared" si="1"/>
        <v>人民币</v>
      </c>
    </row>
    <row r="26" spans="1:19">
      <c r="A26" s="1" t="str">
        <f>"20190812"</f>
        <v>20190812</v>
      </c>
      <c r="B26" s="1" t="str">
        <f>"600886"</f>
        <v>600886</v>
      </c>
      <c r="C26" s="1" t="str">
        <f>"国投电力"</f>
        <v>国投电力</v>
      </c>
      <c r="D26" s="1" t="str">
        <f>"担保品卖出"</f>
        <v>担保品卖出</v>
      </c>
      <c r="E26" s="1">
        <v>8.52</v>
      </c>
      <c r="F26" s="1">
        <v>2800</v>
      </c>
      <c r="G26" s="1">
        <v>23856</v>
      </c>
      <c r="H26" s="1">
        <v>7.4</v>
      </c>
      <c r="I26" s="1">
        <v>5.76</v>
      </c>
      <c r="J26" s="1">
        <v>23.86</v>
      </c>
      <c r="K26" s="1">
        <v>0.48</v>
      </c>
      <c r="L26" s="1">
        <v>0</v>
      </c>
      <c r="M26" s="1">
        <v>0</v>
      </c>
      <c r="N26" s="1">
        <v>23824.26</v>
      </c>
      <c r="O26" s="1">
        <v>23825.16</v>
      </c>
      <c r="P26" s="1">
        <v>0</v>
      </c>
      <c r="Q26" s="1" t="str">
        <f>"E021635187"</f>
        <v>E021635187</v>
      </c>
      <c r="R26" s="1" t="str">
        <f t="shared" si="1"/>
        <v>人民币</v>
      </c>
      <c r="S26" s="1" t="str">
        <f>"0136000248"</f>
        <v>0136000248</v>
      </c>
    </row>
    <row r="27" spans="1:19">
      <c r="A27" s="1" t="str">
        <f>"20190814"</f>
        <v>20190814</v>
      </c>
      <c r="B27" s="1" t="str">
        <f>"000601"</f>
        <v>000601</v>
      </c>
      <c r="C27" s="1" t="str">
        <f>"韶能股份"</f>
        <v>韶能股份</v>
      </c>
      <c r="D27" s="1" t="str">
        <f>"担保品卖出"</f>
        <v>担保品卖出</v>
      </c>
      <c r="E27" s="1">
        <v>5.19</v>
      </c>
      <c r="F27" s="1">
        <v>2400</v>
      </c>
      <c r="G27" s="1">
        <v>12456</v>
      </c>
      <c r="H27" s="1">
        <v>5</v>
      </c>
      <c r="I27" s="1">
        <v>3.9</v>
      </c>
      <c r="J27" s="1">
        <v>12.45</v>
      </c>
      <c r="K27" s="1">
        <v>0</v>
      </c>
      <c r="L27" s="1">
        <v>0</v>
      </c>
      <c r="M27" s="1">
        <v>0</v>
      </c>
      <c r="N27" s="1">
        <v>12438.55</v>
      </c>
      <c r="O27" s="1">
        <v>36263.71</v>
      </c>
      <c r="P27" s="1">
        <v>35000</v>
      </c>
      <c r="Q27" s="1" t="str">
        <f t="shared" si="9"/>
        <v>0602175409</v>
      </c>
      <c r="R27" s="1" t="str">
        <f t="shared" si="1"/>
        <v>人民币</v>
      </c>
      <c r="S27" s="1" t="str">
        <f>"T4000580"</f>
        <v>T4000580</v>
      </c>
    </row>
    <row r="28" spans="1:19">
      <c r="A28" s="1" t="str">
        <f>"20190815"</f>
        <v>20190815</v>
      </c>
      <c r="B28" s="1" t="str">
        <f>"000768"</f>
        <v>000768</v>
      </c>
      <c r="C28" s="1" t="str">
        <f>"中航飞机"</f>
        <v>中航飞机</v>
      </c>
      <c r="D28" s="1" t="str">
        <f>"担保品买入"</f>
        <v>担保品买入</v>
      </c>
      <c r="E28" s="1">
        <v>14.83</v>
      </c>
      <c r="F28" s="1">
        <v>1000</v>
      </c>
      <c r="G28" s="1">
        <v>14830</v>
      </c>
      <c r="H28" s="1">
        <v>5</v>
      </c>
      <c r="I28" s="1">
        <v>3.68</v>
      </c>
      <c r="J28" s="1">
        <v>0</v>
      </c>
      <c r="K28" s="1">
        <v>0</v>
      </c>
      <c r="L28" s="1">
        <v>0</v>
      </c>
      <c r="M28" s="1">
        <v>0</v>
      </c>
      <c r="N28" s="1">
        <v>-14835</v>
      </c>
      <c r="O28" s="1">
        <v>21428.71</v>
      </c>
      <c r="P28" s="1">
        <v>2000</v>
      </c>
      <c r="Q28" s="1" t="str">
        <f t="shared" si="9"/>
        <v>0602175409</v>
      </c>
      <c r="R28" s="1" t="str">
        <f t="shared" si="1"/>
        <v>人民币</v>
      </c>
      <c r="S28" s="1" t="str">
        <f>"T4000336"</f>
        <v>T4000336</v>
      </c>
    </row>
    <row r="29" spans="1:18">
      <c r="A29" s="1" t="str">
        <f t="shared" ref="A29:A36" si="10">"20190820"</f>
        <v>20190820</v>
      </c>
      <c r="D29" s="1" t="str">
        <f t="shared" ref="D29:D36" si="11">"偿还融资利息"</f>
        <v>偿还融资利息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-27.84</v>
      </c>
      <c r="O29" s="1">
        <v>21400.87</v>
      </c>
      <c r="P29" s="1">
        <v>0</v>
      </c>
      <c r="R29" s="1" t="str">
        <f t="shared" si="1"/>
        <v>人民币</v>
      </c>
    </row>
    <row r="30" spans="1:18">
      <c r="A30" s="1" t="str">
        <f t="shared" si="10"/>
        <v>20190820</v>
      </c>
      <c r="D30" s="1" t="str">
        <f t="shared" si="11"/>
        <v>偿还融资利息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-58.88</v>
      </c>
      <c r="O30" s="1">
        <v>21341.99</v>
      </c>
      <c r="P30" s="1">
        <v>0</v>
      </c>
      <c r="R30" s="1" t="str">
        <f t="shared" si="1"/>
        <v>人民币</v>
      </c>
    </row>
    <row r="31" spans="1:18">
      <c r="A31" s="1" t="str">
        <f t="shared" si="10"/>
        <v>20190820</v>
      </c>
      <c r="D31" s="1" t="str">
        <f t="shared" si="11"/>
        <v>偿还融资利息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-122.49</v>
      </c>
      <c r="O31" s="1">
        <v>21219.5</v>
      </c>
      <c r="P31" s="1">
        <v>0</v>
      </c>
      <c r="R31" s="1" t="str">
        <f t="shared" si="1"/>
        <v>人民币</v>
      </c>
    </row>
    <row r="32" spans="1:18">
      <c r="A32" s="1" t="str">
        <f t="shared" si="10"/>
        <v>20190820</v>
      </c>
      <c r="D32" s="1" t="str">
        <f t="shared" si="11"/>
        <v>偿还融资利息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-111.63</v>
      </c>
      <c r="O32" s="1">
        <v>21107.87</v>
      </c>
      <c r="P32" s="1">
        <v>0</v>
      </c>
      <c r="R32" s="1" t="str">
        <f t="shared" si="1"/>
        <v>人民币</v>
      </c>
    </row>
    <row r="33" spans="1:18">
      <c r="A33" s="1" t="str">
        <f t="shared" si="10"/>
        <v>20190820</v>
      </c>
      <c r="D33" s="1" t="str">
        <f t="shared" si="11"/>
        <v>偿还融资利息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-280.51</v>
      </c>
      <c r="O33" s="1">
        <v>20827.36</v>
      </c>
      <c r="P33" s="1">
        <v>0</v>
      </c>
      <c r="R33" s="1" t="str">
        <f t="shared" si="1"/>
        <v>人民币</v>
      </c>
    </row>
    <row r="34" spans="1:18">
      <c r="A34" s="1" t="str">
        <f t="shared" si="10"/>
        <v>20190820</v>
      </c>
      <c r="D34" s="1" t="str">
        <f t="shared" si="11"/>
        <v>偿还融资利息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-213.81</v>
      </c>
      <c r="O34" s="1">
        <v>20613.55</v>
      </c>
      <c r="P34" s="1">
        <v>0</v>
      </c>
      <c r="R34" s="1" t="str">
        <f t="shared" si="1"/>
        <v>人民币</v>
      </c>
    </row>
    <row r="35" spans="1:18">
      <c r="A35" s="1" t="str">
        <f t="shared" si="10"/>
        <v>20190820</v>
      </c>
      <c r="D35" s="1" t="str">
        <f t="shared" si="11"/>
        <v>偿还融资利息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-54.34</v>
      </c>
      <c r="O35" s="1">
        <v>20559.21</v>
      </c>
      <c r="P35" s="1">
        <v>0</v>
      </c>
      <c r="R35" s="1" t="str">
        <f t="shared" si="1"/>
        <v>人民币</v>
      </c>
    </row>
    <row r="36" spans="1:18">
      <c r="A36" s="1" t="str">
        <f t="shared" si="10"/>
        <v>20190820</v>
      </c>
      <c r="D36" s="1" t="str">
        <f t="shared" si="11"/>
        <v>偿还融资利息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-27.15</v>
      </c>
      <c r="O36" s="1">
        <v>20532.06</v>
      </c>
      <c r="P36" s="1">
        <v>0</v>
      </c>
      <c r="R36" s="1" t="str">
        <f t="shared" si="1"/>
        <v>人民币</v>
      </c>
    </row>
    <row r="37" spans="1:19">
      <c r="A37" s="1" t="str">
        <f t="shared" ref="A37:A41" si="12">"20190822"</f>
        <v>20190822</v>
      </c>
      <c r="B37" s="1" t="str">
        <f>"000768"</f>
        <v>000768</v>
      </c>
      <c r="C37" s="1" t="str">
        <f>"中航飞机"</f>
        <v>中航飞机</v>
      </c>
      <c r="D37" s="1" t="str">
        <f>"卖券还款"</f>
        <v>卖券还款</v>
      </c>
      <c r="E37" s="1">
        <v>15.56</v>
      </c>
      <c r="F37" s="1">
        <v>1000</v>
      </c>
      <c r="G37" s="1">
        <v>15560</v>
      </c>
      <c r="H37" s="1">
        <v>7.78</v>
      </c>
      <c r="I37" s="1">
        <v>6.4</v>
      </c>
      <c r="J37" s="1">
        <v>15.56</v>
      </c>
      <c r="K37" s="1">
        <v>0</v>
      </c>
      <c r="L37" s="1">
        <v>0</v>
      </c>
      <c r="M37" s="1">
        <v>0</v>
      </c>
      <c r="N37" s="1">
        <v>15536.66</v>
      </c>
      <c r="O37" s="1">
        <v>36068.72</v>
      </c>
      <c r="P37" s="1">
        <v>1000</v>
      </c>
      <c r="Q37" s="1" t="str">
        <f>"0602175409"</f>
        <v>0602175409</v>
      </c>
      <c r="R37" s="1" t="str">
        <f t="shared" si="1"/>
        <v>人民币</v>
      </c>
      <c r="S37" s="1" t="str">
        <f t="shared" ref="S37:S41" si="13">"T4000484"</f>
        <v>T4000484</v>
      </c>
    </row>
    <row r="38" spans="1:19">
      <c r="A38" s="1" t="str">
        <f t="shared" si="12"/>
        <v>20190822</v>
      </c>
      <c r="D38" s="1" t="str">
        <f>"偿还融资利息"</f>
        <v>偿还融资利息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-2.32</v>
      </c>
      <c r="O38" s="1">
        <v>36066.4</v>
      </c>
      <c r="P38" s="1">
        <v>0</v>
      </c>
      <c r="R38" s="1" t="str">
        <f t="shared" si="1"/>
        <v>人民币</v>
      </c>
      <c r="S38" s="1" t="str">
        <f t="shared" si="13"/>
        <v>T4000484</v>
      </c>
    </row>
    <row r="39" spans="1:19">
      <c r="A39" s="1" t="str">
        <f t="shared" si="12"/>
        <v>20190822</v>
      </c>
      <c r="D39" s="1" t="str">
        <f>"偿还融资负债本金"</f>
        <v>偿还融资负债本金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-10012.91</v>
      </c>
      <c r="O39" s="1">
        <v>26053.49</v>
      </c>
      <c r="P39" s="1">
        <v>0</v>
      </c>
      <c r="R39" s="1" t="str">
        <f t="shared" si="1"/>
        <v>人民币</v>
      </c>
      <c r="S39" s="1" t="str">
        <f t="shared" si="13"/>
        <v>T4000484</v>
      </c>
    </row>
    <row r="40" spans="1:19">
      <c r="A40" s="1" t="str">
        <f t="shared" si="12"/>
        <v>20190822</v>
      </c>
      <c r="D40" s="1" t="str">
        <f>"偿还融资利息"</f>
        <v>偿还融资利息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-1.84</v>
      </c>
      <c r="O40" s="1">
        <v>26051.65</v>
      </c>
      <c r="P40" s="1">
        <v>0</v>
      </c>
      <c r="R40" s="1" t="str">
        <f t="shared" si="1"/>
        <v>人民币</v>
      </c>
      <c r="S40" s="1" t="str">
        <f t="shared" si="13"/>
        <v>T4000484</v>
      </c>
    </row>
    <row r="41" spans="1:19">
      <c r="A41" s="1" t="str">
        <f t="shared" si="12"/>
        <v>20190822</v>
      </c>
      <c r="D41" s="1" t="str">
        <f>"偿还融资负债本金"</f>
        <v>偿还融资负债本金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-5480.69</v>
      </c>
      <c r="O41" s="1">
        <v>20570.96</v>
      </c>
      <c r="P41" s="1">
        <v>0</v>
      </c>
      <c r="R41" s="1" t="str">
        <f t="shared" si="1"/>
        <v>人民币</v>
      </c>
      <c r="S41" s="1" t="str">
        <f t="shared" si="13"/>
        <v>T4000484</v>
      </c>
    </row>
    <row r="42" spans="1:19">
      <c r="A42" s="1" t="str">
        <f t="shared" ref="A42:A47" si="14">"20190902"</f>
        <v>20190902</v>
      </c>
      <c r="B42" s="1" t="str">
        <f>"000768"</f>
        <v>000768</v>
      </c>
      <c r="C42" s="1" t="str">
        <f>"中航飞机"</f>
        <v>中航飞机</v>
      </c>
      <c r="D42" s="1" t="str">
        <f>"卖券还款"</f>
        <v>卖券还款</v>
      </c>
      <c r="E42" s="1">
        <v>17.44</v>
      </c>
      <c r="F42" s="1">
        <v>500</v>
      </c>
      <c r="G42" s="1">
        <v>8720</v>
      </c>
      <c r="H42" s="1">
        <v>5</v>
      </c>
      <c r="I42" s="1">
        <v>4.22</v>
      </c>
      <c r="J42" s="1">
        <v>8.72</v>
      </c>
      <c r="K42" s="1">
        <v>0</v>
      </c>
      <c r="L42" s="1">
        <v>0</v>
      </c>
      <c r="M42" s="1">
        <v>0</v>
      </c>
      <c r="N42" s="1">
        <v>8706.28</v>
      </c>
      <c r="O42" s="1">
        <v>29277.24</v>
      </c>
      <c r="P42" s="1">
        <v>500</v>
      </c>
      <c r="Q42" s="1" t="str">
        <f>"0602175409"</f>
        <v>0602175409</v>
      </c>
      <c r="R42" s="1" t="str">
        <f t="shared" si="1"/>
        <v>人民币</v>
      </c>
      <c r="S42" s="1" t="str">
        <f t="shared" ref="S42:S47" si="15">"T4000828"</f>
        <v>T4000828</v>
      </c>
    </row>
    <row r="43" spans="1:19">
      <c r="A43" s="1" t="str">
        <f t="shared" si="14"/>
        <v>20190902</v>
      </c>
      <c r="B43" s="1" t="str">
        <f>"000543"</f>
        <v>000543</v>
      </c>
      <c r="C43" s="1" t="str">
        <f>"皖能电力"</f>
        <v>皖能电力</v>
      </c>
      <c r="D43" s="1" t="str">
        <f>"担保品买入"</f>
        <v>担保品买入</v>
      </c>
      <c r="E43" s="1">
        <v>4.66</v>
      </c>
      <c r="F43" s="1">
        <v>2500</v>
      </c>
      <c r="G43" s="1">
        <v>11650</v>
      </c>
      <c r="H43" s="1">
        <v>5</v>
      </c>
      <c r="I43" s="1">
        <v>3.97</v>
      </c>
      <c r="J43" s="1">
        <v>0</v>
      </c>
      <c r="K43" s="1">
        <v>0</v>
      </c>
      <c r="L43" s="1">
        <v>0</v>
      </c>
      <c r="M43" s="1">
        <v>0</v>
      </c>
      <c r="N43" s="1">
        <v>-11655</v>
      </c>
      <c r="O43" s="1">
        <v>17622.24</v>
      </c>
      <c r="P43" s="1">
        <v>12500</v>
      </c>
      <c r="Q43" s="1" t="str">
        <f>"0602175409"</f>
        <v>0602175409</v>
      </c>
      <c r="R43" s="1" t="str">
        <f t="shared" si="1"/>
        <v>人民币</v>
      </c>
      <c r="S43" s="1" t="str">
        <f>"T4000835"</f>
        <v>T4000835</v>
      </c>
    </row>
    <row r="44" spans="1:19">
      <c r="A44" s="1" t="str">
        <f t="shared" si="14"/>
        <v>20190902</v>
      </c>
      <c r="D44" s="1" t="str">
        <f t="shared" ref="D44:D49" si="16">"偿还融资利息"</f>
        <v>偿还融资利息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-6.25</v>
      </c>
      <c r="O44" s="1">
        <v>17615.99</v>
      </c>
      <c r="P44" s="1">
        <v>0</v>
      </c>
      <c r="R44" s="1" t="str">
        <f t="shared" si="1"/>
        <v>人民币</v>
      </c>
      <c r="S44" s="1" t="str">
        <f t="shared" si="15"/>
        <v>T4000828</v>
      </c>
    </row>
    <row r="45" spans="1:19">
      <c r="A45" s="1" t="str">
        <f t="shared" si="14"/>
        <v>20190902</v>
      </c>
      <c r="D45" s="1" t="str">
        <f t="shared" ref="D45:D50" si="17">"偿还融资负债本金"</f>
        <v>偿还融资负债本金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-2444.47</v>
      </c>
      <c r="O45" s="1">
        <v>15171.52</v>
      </c>
      <c r="P45" s="1">
        <v>0</v>
      </c>
      <c r="R45" s="1" t="str">
        <f t="shared" si="1"/>
        <v>人民币</v>
      </c>
      <c r="S45" s="1" t="str">
        <f t="shared" si="15"/>
        <v>T4000828</v>
      </c>
    </row>
    <row r="46" spans="1:19">
      <c r="A46" s="1" t="str">
        <f t="shared" si="14"/>
        <v>20190902</v>
      </c>
      <c r="D46" s="1" t="str">
        <f t="shared" si="16"/>
        <v>偿还融资利息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-34.92</v>
      </c>
      <c r="O46" s="1">
        <v>15136.6</v>
      </c>
      <c r="P46" s="1">
        <v>0</v>
      </c>
      <c r="R46" s="1" t="str">
        <f t="shared" si="1"/>
        <v>人民币</v>
      </c>
      <c r="S46" s="1" t="str">
        <f t="shared" si="15"/>
        <v>T4000828</v>
      </c>
    </row>
    <row r="47" spans="1:19">
      <c r="A47" s="1" t="str">
        <f t="shared" si="14"/>
        <v>20190902</v>
      </c>
      <c r="D47" s="1" t="str">
        <f t="shared" si="17"/>
        <v>偿还融资负债本金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-6199.48</v>
      </c>
      <c r="O47" s="1">
        <v>8937.12</v>
      </c>
      <c r="P47" s="1">
        <v>0</v>
      </c>
      <c r="R47" s="1" t="str">
        <f t="shared" si="1"/>
        <v>人民币</v>
      </c>
      <c r="S47" s="1" t="str">
        <f t="shared" si="15"/>
        <v>T4000828</v>
      </c>
    </row>
    <row r="48" spans="1:19">
      <c r="A48" s="1" t="str">
        <f t="shared" ref="A48:A52" si="18">"20190903"</f>
        <v>20190903</v>
      </c>
      <c r="B48" s="1" t="str">
        <f>"000768"</f>
        <v>000768</v>
      </c>
      <c r="C48" s="1" t="str">
        <f>"中航飞机"</f>
        <v>中航飞机</v>
      </c>
      <c r="D48" s="1" t="str">
        <f>"卖券还款"</f>
        <v>卖券还款</v>
      </c>
      <c r="E48" s="1">
        <v>17.65</v>
      </c>
      <c r="F48" s="1">
        <v>500</v>
      </c>
      <c r="G48" s="1">
        <v>8825</v>
      </c>
      <c r="H48" s="1">
        <v>5</v>
      </c>
      <c r="I48" s="1">
        <v>4.21</v>
      </c>
      <c r="J48" s="1">
        <v>8.83</v>
      </c>
      <c r="K48" s="1">
        <v>0</v>
      </c>
      <c r="L48" s="1">
        <v>0</v>
      </c>
      <c r="M48" s="1">
        <v>0</v>
      </c>
      <c r="N48" s="1">
        <v>8811.17</v>
      </c>
      <c r="O48" s="1">
        <v>17748.29</v>
      </c>
      <c r="P48" s="1">
        <v>0</v>
      </c>
      <c r="Q48" s="1" t="str">
        <f>"0602175409"</f>
        <v>0602175409</v>
      </c>
      <c r="R48" s="1" t="str">
        <f t="shared" si="1"/>
        <v>人民币</v>
      </c>
      <c r="S48" s="1" t="str">
        <f t="shared" ref="S48:S52" si="19">"T4000915"</f>
        <v>T4000915</v>
      </c>
    </row>
    <row r="49" spans="1:19">
      <c r="A49" s="1" t="str">
        <f t="shared" si="18"/>
        <v>20190903</v>
      </c>
      <c r="D49" s="1" t="str">
        <f t="shared" si="16"/>
        <v>偿还融资利息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-1.47</v>
      </c>
      <c r="O49" s="1">
        <v>17746.82</v>
      </c>
      <c r="P49" s="1">
        <v>0</v>
      </c>
      <c r="R49" s="1" t="str">
        <f t="shared" si="1"/>
        <v>人民币</v>
      </c>
      <c r="S49" s="1" t="str">
        <f t="shared" si="19"/>
        <v>T4000915</v>
      </c>
    </row>
    <row r="50" spans="1:19">
      <c r="A50" s="1" t="str">
        <f t="shared" si="18"/>
        <v>20190903</v>
      </c>
      <c r="D50" s="1" t="str">
        <f t="shared" si="17"/>
        <v>偿还融资负债本金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-6356.8</v>
      </c>
      <c r="O50" s="1">
        <v>11390.02</v>
      </c>
      <c r="P50" s="1">
        <v>0</v>
      </c>
      <c r="R50" s="1" t="str">
        <f t="shared" si="1"/>
        <v>人民币</v>
      </c>
      <c r="S50" s="1" t="str">
        <f t="shared" si="19"/>
        <v>T4000915</v>
      </c>
    </row>
    <row r="51" spans="1:19">
      <c r="A51" s="1" t="str">
        <f t="shared" si="18"/>
        <v>20190903</v>
      </c>
      <c r="D51" s="1" t="str">
        <f>"偿还融资利息"</f>
        <v>偿还融资利息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-23.79</v>
      </c>
      <c r="O51" s="1">
        <v>11366.23</v>
      </c>
      <c r="P51" s="1">
        <v>0</v>
      </c>
      <c r="R51" s="1" t="str">
        <f t="shared" si="1"/>
        <v>人民币</v>
      </c>
      <c r="S51" s="1" t="str">
        <f t="shared" si="19"/>
        <v>T4000915</v>
      </c>
    </row>
    <row r="52" spans="1:19">
      <c r="A52" s="1" t="str">
        <f t="shared" si="18"/>
        <v>20190903</v>
      </c>
      <c r="D52" s="1" t="str">
        <f>"偿还融资负债本金"</f>
        <v>偿还融资负债本金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-2407.63</v>
      </c>
      <c r="O52" s="1">
        <v>8958.6</v>
      </c>
      <c r="P52" s="1">
        <v>0</v>
      </c>
      <c r="R52" s="1" t="str">
        <f t="shared" si="1"/>
        <v>人民币</v>
      </c>
      <c r="S52" s="1" t="str">
        <f t="shared" si="19"/>
        <v>T4000915</v>
      </c>
    </row>
    <row r="53" spans="1:19">
      <c r="A53" s="1" t="str">
        <f>"20190906"</f>
        <v>20190906</v>
      </c>
      <c r="B53" s="1" t="str">
        <f>"600066"</f>
        <v>600066</v>
      </c>
      <c r="C53" s="1" t="str">
        <f>"宇通客车"</f>
        <v>宇通客车</v>
      </c>
      <c r="D53" s="1" t="str">
        <f>"担保品卖出"</f>
        <v>担保品卖出</v>
      </c>
      <c r="E53" s="1">
        <v>15.63</v>
      </c>
      <c r="F53" s="1">
        <v>500</v>
      </c>
      <c r="G53" s="1">
        <v>7815</v>
      </c>
      <c r="H53" s="1">
        <v>5</v>
      </c>
      <c r="I53" s="1">
        <v>4.46</v>
      </c>
      <c r="J53" s="1">
        <v>7.82</v>
      </c>
      <c r="K53" s="1">
        <v>0.16</v>
      </c>
      <c r="L53" s="1">
        <v>0</v>
      </c>
      <c r="M53" s="1">
        <v>0</v>
      </c>
      <c r="N53" s="1">
        <v>7802.02</v>
      </c>
      <c r="O53" s="1">
        <v>16760.62</v>
      </c>
      <c r="P53" s="1">
        <v>0</v>
      </c>
      <c r="Q53" s="1" t="str">
        <f>"E021635187"</f>
        <v>E021635187</v>
      </c>
      <c r="R53" s="1" t="str">
        <f t="shared" si="1"/>
        <v>人民币</v>
      </c>
      <c r="S53" s="1" t="str">
        <f>"0136000632"</f>
        <v>0136000632</v>
      </c>
    </row>
    <row r="54" spans="1:18">
      <c r="A54" s="1" t="str">
        <f>"20190909"</f>
        <v>20190909</v>
      </c>
      <c r="B54" s="1" t="str">
        <f>"600066"</f>
        <v>600066</v>
      </c>
      <c r="C54" s="1" t="str">
        <f>"宇通客车"</f>
        <v>宇通客车</v>
      </c>
      <c r="D54" s="1" t="str">
        <f>"股息红利差异扣税"</f>
        <v>股息红利差异扣税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-25</v>
      </c>
      <c r="O54" s="1">
        <v>16735.62</v>
      </c>
      <c r="P54" s="1">
        <v>0</v>
      </c>
      <c r="Q54" s="1" t="str">
        <f>"E021635187"</f>
        <v>E021635187</v>
      </c>
      <c r="R54" s="1" t="str">
        <f t="shared" si="1"/>
        <v>人民币</v>
      </c>
    </row>
    <row r="55" spans="1:18">
      <c r="A55" s="1" t="str">
        <f>"20190912"</f>
        <v>20190912</v>
      </c>
      <c r="D55" s="1" t="str">
        <f>"偿还融资利息"</f>
        <v>偿还融资利息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-11.43</v>
      </c>
      <c r="O55" s="1">
        <v>16724.19</v>
      </c>
      <c r="P55" s="1">
        <v>0</v>
      </c>
      <c r="R55" s="1" t="str">
        <f t="shared" si="1"/>
        <v>人民币</v>
      </c>
    </row>
    <row r="56" spans="1:18">
      <c r="A56" s="1" t="str">
        <f>"20190912"</f>
        <v>20190912</v>
      </c>
      <c r="D56" s="1" t="str">
        <f>"偿还融资负债本金"</f>
        <v>偿还融资负债本金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-4988.57</v>
      </c>
      <c r="O56" s="1">
        <v>11735.62</v>
      </c>
      <c r="P56" s="1">
        <v>0</v>
      </c>
      <c r="R56" s="1" t="str">
        <f t="shared" si="1"/>
        <v>人民币</v>
      </c>
    </row>
    <row r="57" spans="1:19">
      <c r="A57" s="1" t="str">
        <f t="shared" ref="A57:A65" si="20">"20190917"</f>
        <v>20190917</v>
      </c>
      <c r="B57" s="1" t="str">
        <f>"002183"</f>
        <v>002183</v>
      </c>
      <c r="C57" s="1" t="str">
        <f>"怡 亚 通"</f>
        <v>怡 亚 通</v>
      </c>
      <c r="D57" s="1" t="str">
        <f>"卖券还款"</f>
        <v>卖券还款</v>
      </c>
      <c r="E57" s="1">
        <v>4.63</v>
      </c>
      <c r="F57" s="1">
        <v>2500</v>
      </c>
      <c r="G57" s="1">
        <v>11575</v>
      </c>
      <c r="H57" s="1">
        <v>5.79</v>
      </c>
      <c r="I57" s="1">
        <v>4.77</v>
      </c>
      <c r="J57" s="1">
        <v>11.58</v>
      </c>
      <c r="K57" s="1">
        <v>0</v>
      </c>
      <c r="L57" s="1">
        <v>0</v>
      </c>
      <c r="M57" s="1">
        <v>0</v>
      </c>
      <c r="N57" s="1">
        <v>11557.63</v>
      </c>
      <c r="O57" s="1">
        <v>23293.25</v>
      </c>
      <c r="P57" s="1">
        <v>7500</v>
      </c>
      <c r="Q57" s="1" t="str">
        <f t="shared" ref="Q57:Q59" si="21">"0602175409"</f>
        <v>0602175409</v>
      </c>
      <c r="R57" s="1" t="str">
        <f t="shared" si="1"/>
        <v>人民币</v>
      </c>
      <c r="S57" s="1" t="str">
        <f>"T4000140"</f>
        <v>T4000140</v>
      </c>
    </row>
    <row r="58" spans="1:19">
      <c r="A58" s="1" t="str">
        <f t="shared" si="20"/>
        <v>20190917</v>
      </c>
      <c r="B58" s="1" t="str">
        <f>"000543"</f>
        <v>000543</v>
      </c>
      <c r="C58" s="1" t="str">
        <f>"皖能电力"</f>
        <v>皖能电力</v>
      </c>
      <c r="D58" s="1" t="str">
        <f>"担保品卖出"</f>
        <v>担保品卖出</v>
      </c>
      <c r="E58" s="1">
        <v>4.75</v>
      </c>
      <c r="F58" s="1">
        <v>2500</v>
      </c>
      <c r="G58" s="1">
        <v>11875</v>
      </c>
      <c r="H58" s="1">
        <v>5</v>
      </c>
      <c r="I58" s="1">
        <v>3.94</v>
      </c>
      <c r="J58" s="1">
        <v>11.88</v>
      </c>
      <c r="K58" s="1">
        <v>0</v>
      </c>
      <c r="L58" s="1">
        <v>0</v>
      </c>
      <c r="M58" s="1">
        <v>0</v>
      </c>
      <c r="N58" s="1">
        <v>11858.12</v>
      </c>
      <c r="O58" s="1">
        <v>35151.37</v>
      </c>
      <c r="P58" s="1">
        <v>10000</v>
      </c>
      <c r="Q58" s="1" t="str">
        <f t="shared" si="21"/>
        <v>0602175409</v>
      </c>
      <c r="R58" s="1" t="str">
        <f t="shared" si="1"/>
        <v>人民币</v>
      </c>
      <c r="S58" s="1" t="str">
        <f>"T4000319"</f>
        <v>T4000319</v>
      </c>
    </row>
    <row r="59" spans="1:19">
      <c r="A59" s="1" t="str">
        <f t="shared" si="20"/>
        <v>20190917</v>
      </c>
      <c r="B59" s="1" t="str">
        <f>"000543"</f>
        <v>000543</v>
      </c>
      <c r="C59" s="1" t="str">
        <f>"皖能电力"</f>
        <v>皖能电力</v>
      </c>
      <c r="D59" s="1" t="str">
        <f>"担保品买入"</f>
        <v>担保品买入</v>
      </c>
      <c r="E59" s="1">
        <v>4.64</v>
      </c>
      <c r="F59" s="1">
        <v>2500</v>
      </c>
      <c r="G59" s="1">
        <v>11600</v>
      </c>
      <c r="H59" s="1">
        <v>5</v>
      </c>
      <c r="I59" s="1">
        <v>3.98</v>
      </c>
      <c r="J59" s="1">
        <v>0</v>
      </c>
      <c r="K59" s="1">
        <v>0</v>
      </c>
      <c r="L59" s="1">
        <v>0</v>
      </c>
      <c r="M59" s="1">
        <v>0</v>
      </c>
      <c r="N59" s="1">
        <v>-11605</v>
      </c>
      <c r="O59" s="1">
        <v>23546.37</v>
      </c>
      <c r="P59" s="1">
        <v>12500</v>
      </c>
      <c r="Q59" s="1" t="str">
        <f t="shared" si="21"/>
        <v>0602175409</v>
      </c>
      <c r="R59" s="1" t="str">
        <f t="shared" si="1"/>
        <v>人民币</v>
      </c>
      <c r="S59" s="1" t="str">
        <f>"T4000897"</f>
        <v>T4000897</v>
      </c>
    </row>
    <row r="60" spans="1:19">
      <c r="A60" s="1" t="str">
        <f t="shared" si="20"/>
        <v>20190917</v>
      </c>
      <c r="B60" s="1" t="str">
        <f>"600066"</f>
        <v>600066</v>
      </c>
      <c r="C60" s="1" t="str">
        <f>"宇通客车"</f>
        <v>宇通客车</v>
      </c>
      <c r="D60" s="1" t="str">
        <f>"融资买入"</f>
        <v>融资买入</v>
      </c>
      <c r="E60" s="1">
        <v>14.59</v>
      </c>
      <c r="F60" s="1">
        <v>500</v>
      </c>
      <c r="G60" s="1">
        <v>7295</v>
      </c>
      <c r="H60" s="1">
        <v>5</v>
      </c>
      <c r="I60" s="1">
        <v>4.5</v>
      </c>
      <c r="J60" s="1">
        <v>0</v>
      </c>
      <c r="K60" s="1">
        <v>0.15</v>
      </c>
      <c r="L60" s="1">
        <v>0</v>
      </c>
      <c r="M60" s="1">
        <v>0</v>
      </c>
      <c r="N60" s="1">
        <v>-7300.15</v>
      </c>
      <c r="O60" s="1">
        <v>16246.22</v>
      </c>
      <c r="P60" s="1">
        <v>500</v>
      </c>
      <c r="Q60" s="1" t="str">
        <f>"E021635187"</f>
        <v>E021635187</v>
      </c>
      <c r="R60" s="1" t="str">
        <f t="shared" si="1"/>
        <v>人民币</v>
      </c>
      <c r="S60" s="1" t="str">
        <f>"0136000681"</f>
        <v>0136000681</v>
      </c>
    </row>
    <row r="61" spans="1:19">
      <c r="A61" s="1" t="str">
        <f t="shared" si="20"/>
        <v>20190917</v>
      </c>
      <c r="D61" s="1" t="str">
        <f>"融资借入"</f>
        <v>融资借入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7300.15</v>
      </c>
      <c r="O61" s="1">
        <v>23546.37</v>
      </c>
      <c r="P61" s="1">
        <v>0</v>
      </c>
      <c r="R61" s="1" t="str">
        <f t="shared" si="1"/>
        <v>人民币</v>
      </c>
      <c r="S61" s="1" t="str">
        <f>"0136000681"</f>
        <v>0136000681</v>
      </c>
    </row>
    <row r="62" spans="1:19">
      <c r="A62" s="1" t="str">
        <f t="shared" si="20"/>
        <v>20190917</v>
      </c>
      <c r="D62" s="1" t="str">
        <f>"偿还融资利息"</f>
        <v>偿还融资利息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-0.56</v>
      </c>
      <c r="O62" s="1">
        <v>23545.81</v>
      </c>
      <c r="P62" s="1">
        <v>0</v>
      </c>
      <c r="R62" s="1" t="str">
        <f t="shared" si="1"/>
        <v>人民币</v>
      </c>
      <c r="S62" s="1" t="str">
        <f t="shared" ref="S62:S65" si="22">"T4000140"</f>
        <v>T4000140</v>
      </c>
    </row>
    <row r="63" spans="1:19">
      <c r="A63" s="1" t="str">
        <f t="shared" si="20"/>
        <v>20190917</v>
      </c>
      <c r="D63" s="1" t="str">
        <f>"偿还融资负债本金"</f>
        <v>偿还融资负债本金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-493.8</v>
      </c>
      <c r="O63" s="1">
        <v>23052.01</v>
      </c>
      <c r="P63" s="1">
        <v>0</v>
      </c>
      <c r="R63" s="1" t="str">
        <f t="shared" si="1"/>
        <v>人民币</v>
      </c>
      <c r="S63" s="1" t="str">
        <f t="shared" si="22"/>
        <v>T4000140</v>
      </c>
    </row>
    <row r="64" spans="1:19">
      <c r="A64" s="1" t="str">
        <f t="shared" si="20"/>
        <v>20190917</v>
      </c>
      <c r="D64" s="1" t="str">
        <f>"偿还融资利息"</f>
        <v>偿还融资利息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-124.16</v>
      </c>
      <c r="O64" s="1">
        <v>22927.85</v>
      </c>
      <c r="P64" s="1">
        <v>0</v>
      </c>
      <c r="R64" s="1" t="str">
        <f t="shared" si="1"/>
        <v>人民币</v>
      </c>
      <c r="S64" s="1" t="str">
        <f t="shared" si="22"/>
        <v>T4000140</v>
      </c>
    </row>
    <row r="65" spans="1:19">
      <c r="A65" s="1" t="str">
        <f t="shared" si="20"/>
        <v>20190917</v>
      </c>
      <c r="D65" s="1" t="str">
        <f>"偿还融资负债本金"</f>
        <v>偿还融资负债本金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-10910.17</v>
      </c>
      <c r="O65" s="1">
        <v>12017.68</v>
      </c>
      <c r="P65" s="1">
        <v>0</v>
      </c>
      <c r="R65" s="1" t="str">
        <f t="shared" si="1"/>
        <v>人民币</v>
      </c>
      <c r="S65" s="1" t="str">
        <f t="shared" si="22"/>
        <v>T4000140</v>
      </c>
    </row>
    <row r="66" spans="1:19">
      <c r="A66" s="1" t="str">
        <f t="shared" ref="A66:A69" si="23">"20190918"</f>
        <v>20190918</v>
      </c>
      <c r="B66" s="1" t="str">
        <f>"000543"</f>
        <v>000543</v>
      </c>
      <c r="C66" s="1" t="str">
        <f>"皖能电力"</f>
        <v>皖能电力</v>
      </c>
      <c r="D66" s="1" t="str">
        <f>"担保品卖出"</f>
        <v>担保品卖出</v>
      </c>
      <c r="E66" s="1">
        <v>4.71</v>
      </c>
      <c r="F66" s="1">
        <v>2500</v>
      </c>
      <c r="G66" s="1">
        <v>11775</v>
      </c>
      <c r="H66" s="1">
        <v>5</v>
      </c>
      <c r="I66" s="1">
        <v>3.95</v>
      </c>
      <c r="J66" s="1">
        <v>11.77</v>
      </c>
      <c r="K66" s="1">
        <v>0</v>
      </c>
      <c r="L66" s="1">
        <v>0</v>
      </c>
      <c r="M66" s="1">
        <v>0</v>
      </c>
      <c r="N66" s="1">
        <v>11758.23</v>
      </c>
      <c r="O66" s="1">
        <v>23775.91</v>
      </c>
      <c r="P66" s="1">
        <v>10000</v>
      </c>
      <c r="Q66" s="1" t="str">
        <f>"0602175409"</f>
        <v>0602175409</v>
      </c>
      <c r="R66" s="1" t="str">
        <f t="shared" ref="R66:R77" si="24">"人民币"</f>
        <v>人民币</v>
      </c>
      <c r="S66" s="1" t="str">
        <f>"T4000887"</f>
        <v>T4000887</v>
      </c>
    </row>
    <row r="67" spans="1:19">
      <c r="A67" s="1" t="str">
        <f t="shared" si="23"/>
        <v>20190918</v>
      </c>
      <c r="B67" s="1" t="str">
        <f>"600066"</f>
        <v>600066</v>
      </c>
      <c r="C67" s="1" t="str">
        <f>"宇通客车"</f>
        <v>宇通客车</v>
      </c>
      <c r="D67" s="1" t="str">
        <f>"卖券还款"</f>
        <v>卖券还款</v>
      </c>
      <c r="E67" s="1">
        <v>14.51</v>
      </c>
      <c r="F67" s="1">
        <v>500</v>
      </c>
      <c r="G67" s="1">
        <v>7255</v>
      </c>
      <c r="H67" s="1">
        <v>5</v>
      </c>
      <c r="I67" s="1">
        <v>4.5</v>
      </c>
      <c r="J67" s="1">
        <v>7.25</v>
      </c>
      <c r="K67" s="1">
        <v>0.15</v>
      </c>
      <c r="L67" s="1">
        <v>0</v>
      </c>
      <c r="M67" s="1">
        <v>0</v>
      </c>
      <c r="N67" s="1">
        <v>7242.6</v>
      </c>
      <c r="O67" s="1">
        <v>31018.51</v>
      </c>
      <c r="P67" s="1">
        <v>0</v>
      </c>
      <c r="Q67" s="1" t="str">
        <f>"E021635187"</f>
        <v>E021635187</v>
      </c>
      <c r="R67" s="1" t="str">
        <f t="shared" si="24"/>
        <v>人民币</v>
      </c>
      <c r="S67" s="1" t="str">
        <f t="shared" ref="S67:S69" si="25">"0136000538"</f>
        <v>0136000538</v>
      </c>
    </row>
    <row r="68" spans="1:19">
      <c r="A68" s="1" t="str">
        <f t="shared" si="23"/>
        <v>20190918</v>
      </c>
      <c r="D68" s="1" t="str">
        <f t="shared" ref="D68:D75" si="26">"偿还融资利息"</f>
        <v>偿还融资利息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-2.07</v>
      </c>
      <c r="O68" s="1">
        <v>31016.44</v>
      </c>
      <c r="P68" s="1">
        <v>0</v>
      </c>
      <c r="R68" s="1" t="str">
        <f t="shared" si="24"/>
        <v>人民币</v>
      </c>
      <c r="S68" s="1" t="str">
        <f t="shared" si="25"/>
        <v>0136000538</v>
      </c>
    </row>
    <row r="69" spans="1:19">
      <c r="A69" s="1" t="str">
        <f t="shared" si="23"/>
        <v>20190918</v>
      </c>
      <c r="D69" s="1" t="str">
        <f>"偿还融资负债本金"</f>
        <v>偿还融资负债本金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-7223.75</v>
      </c>
      <c r="O69" s="1">
        <v>23792.69</v>
      </c>
      <c r="P69" s="1">
        <v>0</v>
      </c>
      <c r="R69" s="1" t="str">
        <f t="shared" si="24"/>
        <v>人民币</v>
      </c>
      <c r="S69" s="1" t="str">
        <f t="shared" si="25"/>
        <v>0136000538</v>
      </c>
    </row>
    <row r="70" spans="1:18">
      <c r="A70" s="1" t="str">
        <f t="shared" ref="A70:A75" si="27">"20190920"</f>
        <v>20190920</v>
      </c>
      <c r="D70" s="1" t="str">
        <f>"利息归本"</f>
        <v>利息归本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6.33</v>
      </c>
      <c r="O70" s="1">
        <v>23799.02</v>
      </c>
      <c r="P70" s="1">
        <v>0</v>
      </c>
      <c r="R70" s="1" t="str">
        <f t="shared" si="24"/>
        <v>人民币</v>
      </c>
    </row>
    <row r="71" spans="1:18">
      <c r="A71" s="1" t="str">
        <f t="shared" si="27"/>
        <v>20190920</v>
      </c>
      <c r="D71" s="1" t="str">
        <f t="shared" si="26"/>
        <v>偿还融资利息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-1.17</v>
      </c>
      <c r="O71" s="1">
        <v>23797.85</v>
      </c>
      <c r="P71" s="1">
        <v>0</v>
      </c>
      <c r="R71" s="1" t="str">
        <f t="shared" si="24"/>
        <v>人民币</v>
      </c>
    </row>
    <row r="72" spans="1:18">
      <c r="A72" s="1" t="str">
        <f t="shared" si="27"/>
        <v>20190920</v>
      </c>
      <c r="D72" s="1" t="str">
        <f t="shared" si="26"/>
        <v>偿还融资利息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-95.17</v>
      </c>
      <c r="O72" s="1">
        <v>23702.68</v>
      </c>
      <c r="P72" s="1">
        <v>0</v>
      </c>
      <c r="R72" s="1" t="str">
        <f t="shared" si="24"/>
        <v>人民币</v>
      </c>
    </row>
    <row r="73" spans="1:18">
      <c r="A73" s="1" t="str">
        <f t="shared" si="27"/>
        <v>20190920</v>
      </c>
      <c r="D73" s="1" t="str">
        <f t="shared" si="26"/>
        <v>偿还融资利息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-56.15</v>
      </c>
      <c r="O73" s="1">
        <v>23646.53</v>
      </c>
      <c r="P73" s="1">
        <v>0</v>
      </c>
      <c r="R73" s="1" t="str">
        <f t="shared" si="24"/>
        <v>人民币</v>
      </c>
    </row>
    <row r="74" spans="1:18">
      <c r="A74" s="1" t="str">
        <f t="shared" si="27"/>
        <v>20190920</v>
      </c>
      <c r="D74" s="1" t="str">
        <f t="shared" si="26"/>
        <v>偿还融资利息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-56.11</v>
      </c>
      <c r="O74" s="1">
        <v>23590.42</v>
      </c>
      <c r="P74" s="1">
        <v>0</v>
      </c>
      <c r="R74" s="1" t="str">
        <f t="shared" si="24"/>
        <v>人民币</v>
      </c>
    </row>
    <row r="75" spans="1:18">
      <c r="A75" s="1" t="str">
        <f t="shared" si="27"/>
        <v>20190920</v>
      </c>
      <c r="D75" s="1" t="str">
        <f t="shared" si="26"/>
        <v>偿还融资利息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-6.76</v>
      </c>
      <c r="O75" s="1">
        <v>23583.66</v>
      </c>
      <c r="P75" s="1">
        <v>0</v>
      </c>
      <c r="R75" s="1" t="str">
        <f t="shared" si="24"/>
        <v>人民币</v>
      </c>
    </row>
    <row r="76" spans="1:19">
      <c r="A76" s="1" t="str">
        <f>"20190926"</f>
        <v>20190926</v>
      </c>
      <c r="B76" s="1" t="str">
        <f>"000768"</f>
        <v>000768</v>
      </c>
      <c r="C76" s="1" t="str">
        <f>"中航飞机"</f>
        <v>中航飞机</v>
      </c>
      <c r="D76" s="1" t="str">
        <f>"担保品买入"</f>
        <v>担保品买入</v>
      </c>
      <c r="E76" s="1">
        <v>16</v>
      </c>
      <c r="F76" s="1">
        <v>500</v>
      </c>
      <c r="G76" s="1">
        <v>8000</v>
      </c>
      <c r="H76" s="1">
        <v>5</v>
      </c>
      <c r="I76" s="1">
        <v>4.29</v>
      </c>
      <c r="J76" s="1">
        <v>0</v>
      </c>
      <c r="K76" s="1">
        <v>0</v>
      </c>
      <c r="L76" s="1">
        <v>0</v>
      </c>
      <c r="M76" s="1">
        <v>0</v>
      </c>
      <c r="N76" s="1">
        <v>-8005</v>
      </c>
      <c r="O76" s="1">
        <v>15578.66</v>
      </c>
      <c r="P76" s="1">
        <v>500</v>
      </c>
      <c r="Q76" s="1" t="str">
        <f>"0602175409"</f>
        <v>0602175409</v>
      </c>
      <c r="R76" s="1" t="str">
        <f t="shared" si="24"/>
        <v>人民币</v>
      </c>
      <c r="S76" s="1" t="str">
        <f>"T4000238"</f>
        <v>T4000238</v>
      </c>
    </row>
    <row r="77" spans="1:18">
      <c r="A77" s="1" t="str">
        <f>"20190930"</f>
        <v>20190930</v>
      </c>
      <c r="D77" s="1" t="str">
        <f>"证券转银行"</f>
        <v>证券转银行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-2000</v>
      </c>
      <c r="O77" s="1">
        <v>13578.66</v>
      </c>
      <c r="P77" s="1">
        <v>0</v>
      </c>
      <c r="R77" s="1" t="str">
        <f t="shared" si="24"/>
        <v>人民币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83"/>
  <sheetViews>
    <sheetView topLeftCell="A61" workbookViewId="0">
      <selection activeCell="A2" sqref="A2:P83"/>
    </sheetView>
  </sheetViews>
  <sheetFormatPr defaultColWidth="9" defaultRowHeight="13.5"/>
  <cols>
    <col min="1" max="16384" width="9" style="1"/>
  </cols>
  <sheetData>
    <row r="1" spans="1:19">
      <c r="A1" s="1" t="str">
        <f>"交割日期"</f>
        <v>交割日期</v>
      </c>
      <c r="B1" s="1" t="str">
        <f>"证券代码"</f>
        <v>证券代码</v>
      </c>
      <c r="C1" s="1" t="str">
        <f>"证券名称"</f>
        <v>证券名称</v>
      </c>
      <c r="D1" s="1" t="str">
        <f>"业务名称"</f>
        <v>业务名称</v>
      </c>
      <c r="E1" s="1" t="str">
        <f>"成交价格"</f>
        <v>成交价格</v>
      </c>
      <c r="F1" s="1" t="str">
        <f>"成交数量"</f>
        <v>成交数量</v>
      </c>
      <c r="G1" s="1" t="str">
        <f>"成交金额"</f>
        <v>成交金额</v>
      </c>
      <c r="H1" s="1" t="str">
        <f>"手续费"</f>
        <v>手续费</v>
      </c>
      <c r="I1" s="1" t="str">
        <f>"净佣金"</f>
        <v>净佣金</v>
      </c>
      <c r="J1" s="1" t="str">
        <f>"印花税"</f>
        <v>印花税</v>
      </c>
      <c r="K1" s="1" t="str">
        <f>"过户费"</f>
        <v>过户费</v>
      </c>
      <c r="L1" s="1" t="str">
        <f>"结算费"</f>
        <v>结算费</v>
      </c>
      <c r="M1" s="1" t="str">
        <f>"其他费"</f>
        <v>其他费</v>
      </c>
      <c r="N1" s="1" t="str">
        <f>"发生金额"</f>
        <v>发生金额</v>
      </c>
      <c r="O1" s="1" t="str">
        <f>"剩余金额"</f>
        <v>剩余金额</v>
      </c>
      <c r="P1" s="1" t="str">
        <f>"证券数量"</f>
        <v>证券数量</v>
      </c>
      <c r="Q1" s="1" t="str">
        <f>"股东代码"</f>
        <v>股东代码</v>
      </c>
      <c r="R1" s="1" t="str">
        <f>"币种"</f>
        <v>币种</v>
      </c>
      <c r="S1" s="1" t="str">
        <f>"成交编号"</f>
        <v>成交编号</v>
      </c>
    </row>
    <row r="2" spans="1:19">
      <c r="A2" s="1" t="str">
        <f>"20191011"</f>
        <v>20191011</v>
      </c>
      <c r="B2" s="1" t="str">
        <f>"000768"</f>
        <v>000768</v>
      </c>
      <c r="C2" s="1" t="str">
        <f>"中航飞机"</f>
        <v>中航飞机</v>
      </c>
      <c r="D2" s="1" t="str">
        <f>"担保品买入"</f>
        <v>担保品买入</v>
      </c>
      <c r="E2" s="1">
        <v>15.39</v>
      </c>
      <c r="F2" s="1">
        <v>500</v>
      </c>
      <c r="G2" s="1">
        <v>7695</v>
      </c>
      <c r="H2" s="1">
        <v>5</v>
      </c>
      <c r="I2" s="1">
        <v>4.33</v>
      </c>
      <c r="J2" s="1">
        <v>0</v>
      </c>
      <c r="K2" s="1">
        <v>0</v>
      </c>
      <c r="L2" s="1">
        <v>0</v>
      </c>
      <c r="M2" s="1">
        <v>0</v>
      </c>
      <c r="N2" s="1">
        <v>-7700</v>
      </c>
      <c r="O2" s="1">
        <v>5878.66</v>
      </c>
      <c r="P2" s="1">
        <v>1000</v>
      </c>
      <c r="Q2" s="1" t="str">
        <f>"0602175409"</f>
        <v>0602175409</v>
      </c>
      <c r="R2" s="1" t="str">
        <f t="shared" ref="R2:R65" si="0">"人民币"</f>
        <v>人民币</v>
      </c>
      <c r="S2" s="1" t="str">
        <f>"T4000939"</f>
        <v>T4000939</v>
      </c>
    </row>
    <row r="3" spans="1:18">
      <c r="A3" s="1" t="str">
        <f t="shared" ref="A3:A7" si="1">"20191018"</f>
        <v>20191018</v>
      </c>
      <c r="D3" s="1" t="str">
        <f t="shared" ref="D3:D7" si="2">"偿还融资利息"</f>
        <v>偿还融资利息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-10.92</v>
      </c>
      <c r="O3" s="1">
        <v>5867.74</v>
      </c>
      <c r="P3" s="1">
        <v>0</v>
      </c>
      <c r="R3" s="1" t="str">
        <f t="shared" si="0"/>
        <v>人民币</v>
      </c>
    </row>
    <row r="4" spans="1:18">
      <c r="A4" s="1" t="str">
        <f t="shared" si="1"/>
        <v>20191018</v>
      </c>
      <c r="D4" s="1" t="str">
        <f t="shared" si="2"/>
        <v>偿还融资利息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-85.95</v>
      </c>
      <c r="O4" s="1">
        <v>5781.79</v>
      </c>
      <c r="P4" s="1">
        <v>0</v>
      </c>
      <c r="R4" s="1" t="str">
        <f t="shared" si="0"/>
        <v>人民币</v>
      </c>
    </row>
    <row r="5" spans="1:18">
      <c r="A5" s="1" t="str">
        <f t="shared" si="1"/>
        <v>20191018</v>
      </c>
      <c r="D5" s="1" t="str">
        <f t="shared" si="2"/>
        <v>偿还融资利息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-50.74</v>
      </c>
      <c r="O5" s="1">
        <v>5731.05</v>
      </c>
      <c r="P5" s="1">
        <v>0</v>
      </c>
      <c r="R5" s="1" t="str">
        <f t="shared" si="0"/>
        <v>人民币</v>
      </c>
    </row>
    <row r="6" spans="1:18">
      <c r="A6" s="1" t="str">
        <f t="shared" si="1"/>
        <v>20191018</v>
      </c>
      <c r="D6" s="1" t="str">
        <f t="shared" si="2"/>
        <v>偿还融资利息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-50.67</v>
      </c>
      <c r="O6" s="1">
        <v>5680.38</v>
      </c>
      <c r="P6" s="1">
        <v>0</v>
      </c>
      <c r="R6" s="1" t="str">
        <f t="shared" si="0"/>
        <v>人民币</v>
      </c>
    </row>
    <row r="7" spans="1:18">
      <c r="A7" s="1" t="str">
        <f t="shared" si="1"/>
        <v>20191018</v>
      </c>
      <c r="D7" s="1" t="str">
        <f t="shared" si="2"/>
        <v>偿还融资利息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-47.37</v>
      </c>
      <c r="O7" s="1">
        <v>5633.01</v>
      </c>
      <c r="P7" s="1">
        <v>0</v>
      </c>
      <c r="R7" s="1" t="str">
        <f t="shared" si="0"/>
        <v>人民币</v>
      </c>
    </row>
    <row r="8" spans="1:19">
      <c r="A8" s="1" t="str">
        <f>"20191028"</f>
        <v>20191028</v>
      </c>
      <c r="B8" s="1" t="str">
        <f>"000768"</f>
        <v>000768</v>
      </c>
      <c r="C8" s="1" t="str">
        <f>"中航飞机"</f>
        <v>中航飞机</v>
      </c>
      <c r="D8" s="1" t="str">
        <f t="shared" ref="D8:D11" si="3">"融资买入"</f>
        <v>融资买入</v>
      </c>
      <c r="E8" s="1">
        <v>15.34</v>
      </c>
      <c r="F8" s="1">
        <v>1000</v>
      </c>
      <c r="G8" s="1">
        <v>15340</v>
      </c>
      <c r="H8" s="1">
        <v>7.67</v>
      </c>
      <c r="I8" s="1">
        <v>6.3</v>
      </c>
      <c r="J8" s="1">
        <v>0</v>
      </c>
      <c r="K8" s="1">
        <v>0</v>
      </c>
      <c r="L8" s="1">
        <v>0</v>
      </c>
      <c r="M8" s="1">
        <v>0</v>
      </c>
      <c r="N8" s="1">
        <v>-15347.67</v>
      </c>
      <c r="O8" s="1">
        <v>-9714.66</v>
      </c>
      <c r="P8" s="1">
        <v>2000</v>
      </c>
      <c r="Q8" s="1" t="str">
        <f t="shared" ref="Q8:Q11" si="4">"0602175409"</f>
        <v>0602175409</v>
      </c>
      <c r="R8" s="1" t="str">
        <f t="shared" si="0"/>
        <v>人民币</v>
      </c>
      <c r="S8" s="1" t="str">
        <f>"T4000588"</f>
        <v>T4000588</v>
      </c>
    </row>
    <row r="9" spans="1:19">
      <c r="A9" s="1" t="str">
        <f>"20191028"</f>
        <v>20191028</v>
      </c>
      <c r="D9" s="1" t="str">
        <f t="shared" ref="D9:D13" si="5">"融资借入"</f>
        <v>融资借入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15347.67</v>
      </c>
      <c r="O9" s="1">
        <v>5633.01</v>
      </c>
      <c r="P9" s="1">
        <v>0</v>
      </c>
      <c r="R9" s="1" t="str">
        <f t="shared" si="0"/>
        <v>人民币</v>
      </c>
      <c r="S9" s="1" t="str">
        <f>"T4000588"</f>
        <v>T4000588</v>
      </c>
    </row>
    <row r="10" spans="1:19">
      <c r="A10" s="1" t="str">
        <f t="shared" ref="A10:A13" si="6">"20191107"</f>
        <v>20191107</v>
      </c>
      <c r="B10" s="1" t="str">
        <f>"000543"</f>
        <v>000543</v>
      </c>
      <c r="C10" s="1" t="str">
        <f>"皖能电力"</f>
        <v>皖能电力</v>
      </c>
      <c r="D10" s="1" t="str">
        <f t="shared" si="3"/>
        <v>融资买入</v>
      </c>
      <c r="E10" s="1">
        <v>4.58</v>
      </c>
      <c r="F10" s="1">
        <v>3000</v>
      </c>
      <c r="G10" s="1">
        <v>13740</v>
      </c>
      <c r="H10" s="1">
        <v>6.87</v>
      </c>
      <c r="I10" s="1">
        <v>5.65</v>
      </c>
      <c r="J10" s="1">
        <v>0</v>
      </c>
      <c r="K10" s="1">
        <v>0</v>
      </c>
      <c r="L10" s="1">
        <v>0</v>
      </c>
      <c r="M10" s="1">
        <v>0</v>
      </c>
      <c r="N10" s="1">
        <v>-13746.87</v>
      </c>
      <c r="O10" s="1">
        <v>-8113.86</v>
      </c>
      <c r="P10" s="1">
        <v>13000</v>
      </c>
      <c r="Q10" s="1" t="str">
        <f t="shared" si="4"/>
        <v>0602175409</v>
      </c>
      <c r="R10" s="1" t="str">
        <f t="shared" si="0"/>
        <v>人民币</v>
      </c>
      <c r="S10" s="1" t="str">
        <f>"T4000301"</f>
        <v>T4000301</v>
      </c>
    </row>
    <row r="11" spans="1:19">
      <c r="A11" s="1" t="str">
        <f t="shared" si="6"/>
        <v>20191107</v>
      </c>
      <c r="B11" s="1" t="str">
        <f>"000050"</f>
        <v>000050</v>
      </c>
      <c r="C11" s="1" t="str">
        <f>"深天马Ａ"</f>
        <v>深天马Ａ</v>
      </c>
      <c r="D11" s="1" t="str">
        <f t="shared" si="3"/>
        <v>融资买入</v>
      </c>
      <c r="E11" s="1">
        <v>14.55</v>
      </c>
      <c r="F11" s="1">
        <v>500</v>
      </c>
      <c r="G11" s="1">
        <v>7275</v>
      </c>
      <c r="H11" s="1">
        <v>5</v>
      </c>
      <c r="I11" s="1">
        <v>4.35</v>
      </c>
      <c r="J11" s="1">
        <v>0</v>
      </c>
      <c r="K11" s="1">
        <v>0</v>
      </c>
      <c r="L11" s="1">
        <v>0</v>
      </c>
      <c r="M11" s="1">
        <v>0</v>
      </c>
      <c r="N11" s="1">
        <v>-7280</v>
      </c>
      <c r="O11" s="1">
        <v>-15393.86</v>
      </c>
      <c r="P11" s="1">
        <v>500</v>
      </c>
      <c r="Q11" s="1" t="str">
        <f t="shared" si="4"/>
        <v>0602175409</v>
      </c>
      <c r="R11" s="1" t="str">
        <f t="shared" si="0"/>
        <v>人民币</v>
      </c>
      <c r="S11" s="1" t="str">
        <f>"T4000363"</f>
        <v>T4000363</v>
      </c>
    </row>
    <row r="12" spans="1:19">
      <c r="A12" s="1" t="str">
        <f t="shared" si="6"/>
        <v>20191107</v>
      </c>
      <c r="D12" s="1" t="str">
        <f t="shared" si="5"/>
        <v>融资借入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13746.87</v>
      </c>
      <c r="O12" s="1">
        <v>-1646.99</v>
      </c>
      <c r="P12" s="1">
        <v>0</v>
      </c>
      <c r="R12" s="1" t="str">
        <f t="shared" si="0"/>
        <v>人民币</v>
      </c>
      <c r="S12" s="1" t="str">
        <f>"T4000301"</f>
        <v>T4000301</v>
      </c>
    </row>
    <row r="13" spans="1:19">
      <c r="A13" s="1" t="str">
        <f t="shared" si="6"/>
        <v>20191107</v>
      </c>
      <c r="D13" s="1" t="str">
        <f t="shared" si="5"/>
        <v>融资借入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7280</v>
      </c>
      <c r="O13" s="1">
        <v>5633.01</v>
      </c>
      <c r="P13" s="1">
        <v>0</v>
      </c>
      <c r="R13" s="1" t="str">
        <f t="shared" si="0"/>
        <v>人民币</v>
      </c>
      <c r="S13" s="1" t="str">
        <f>"T4000363"</f>
        <v>T4000363</v>
      </c>
    </row>
    <row r="14" spans="1:18">
      <c r="A14" s="1" t="str">
        <f t="shared" ref="A14:A23" si="7">"20191111"</f>
        <v>20191111</v>
      </c>
      <c r="D14" s="1" t="str">
        <f>"银行转证券"</f>
        <v>银行转证券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250000</v>
      </c>
      <c r="O14" s="1">
        <v>255633.01</v>
      </c>
      <c r="P14" s="1">
        <v>0</v>
      </c>
      <c r="R14" s="1" t="str">
        <f t="shared" si="0"/>
        <v>人民币</v>
      </c>
    </row>
    <row r="15" spans="1:19">
      <c r="A15" s="1" t="str">
        <f t="shared" si="7"/>
        <v>20191111</v>
      </c>
      <c r="B15" s="1" t="str">
        <f>"000768"</f>
        <v>000768</v>
      </c>
      <c r="C15" s="1" t="str">
        <f>"中航飞机"</f>
        <v>中航飞机</v>
      </c>
      <c r="D15" s="1" t="str">
        <f>"卖券还款"</f>
        <v>卖券还款</v>
      </c>
      <c r="E15" s="1">
        <v>15.45</v>
      </c>
      <c r="F15" s="1">
        <v>1000</v>
      </c>
      <c r="G15" s="1">
        <v>15450</v>
      </c>
      <c r="H15" s="1">
        <v>7.73</v>
      </c>
      <c r="I15" s="1">
        <v>6.35</v>
      </c>
      <c r="J15" s="1">
        <v>15.46</v>
      </c>
      <c r="K15" s="1">
        <v>0</v>
      </c>
      <c r="L15" s="1">
        <v>0</v>
      </c>
      <c r="M15" s="1">
        <v>0</v>
      </c>
      <c r="N15" s="1">
        <v>15426.81</v>
      </c>
      <c r="O15" s="1">
        <v>271059.82</v>
      </c>
      <c r="P15" s="1">
        <v>1000</v>
      </c>
      <c r="Q15" s="1" t="str">
        <f>"0602175409"</f>
        <v>0602175409</v>
      </c>
      <c r="R15" s="1" t="str">
        <f t="shared" si="0"/>
        <v>人民币</v>
      </c>
      <c r="S15" s="1" t="str">
        <f t="shared" ref="S15:S23" si="8">"T4000601"</f>
        <v>T4000601</v>
      </c>
    </row>
    <row r="16" spans="1:19">
      <c r="A16" s="1" t="str">
        <f t="shared" si="7"/>
        <v>20191111</v>
      </c>
      <c r="B16" s="1" t="str">
        <f>"000768"</f>
        <v>000768</v>
      </c>
      <c r="C16" s="1" t="str">
        <f>"中航飞机"</f>
        <v>中航飞机</v>
      </c>
      <c r="D16" s="1" t="str">
        <f>"融资买入"</f>
        <v>融资买入</v>
      </c>
      <c r="E16" s="1">
        <v>15.52</v>
      </c>
      <c r="F16" s="1">
        <v>1000</v>
      </c>
      <c r="G16" s="1">
        <v>15520</v>
      </c>
      <c r="H16" s="1">
        <v>7.76</v>
      </c>
      <c r="I16" s="1">
        <v>6.38</v>
      </c>
      <c r="J16" s="1">
        <v>0</v>
      </c>
      <c r="K16" s="1">
        <v>0</v>
      </c>
      <c r="L16" s="1">
        <v>0</v>
      </c>
      <c r="M16" s="1">
        <v>0</v>
      </c>
      <c r="N16" s="1">
        <v>-15527.76</v>
      </c>
      <c r="O16" s="1">
        <v>255532.06</v>
      </c>
      <c r="P16" s="1">
        <v>2000</v>
      </c>
      <c r="Q16" s="1" t="str">
        <f>"0602175409"</f>
        <v>0602175409</v>
      </c>
      <c r="R16" s="1" t="str">
        <f t="shared" si="0"/>
        <v>人民币</v>
      </c>
      <c r="S16" s="1" t="str">
        <f>"T4000613"</f>
        <v>T4000613</v>
      </c>
    </row>
    <row r="17" spans="1:19">
      <c r="A17" s="1" t="str">
        <f t="shared" si="7"/>
        <v>20191111</v>
      </c>
      <c r="D17" s="1" t="str">
        <f>"融资借入"</f>
        <v>融资借入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15527.76</v>
      </c>
      <c r="O17" s="1">
        <v>271059.82</v>
      </c>
      <c r="P17" s="1">
        <v>0</v>
      </c>
      <c r="R17" s="1" t="str">
        <f t="shared" si="0"/>
        <v>人民币</v>
      </c>
      <c r="S17" s="1" t="str">
        <f>"T4000613"</f>
        <v>T4000613</v>
      </c>
    </row>
    <row r="18" spans="1:19">
      <c r="A18" s="1" t="str">
        <f t="shared" si="7"/>
        <v>20191111</v>
      </c>
      <c r="D18" s="1" t="str">
        <f t="shared" ref="D18:D22" si="9">"偿还融资利息"</f>
        <v>偿还融资利息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-8.97</v>
      </c>
      <c r="O18" s="1">
        <v>271050.85</v>
      </c>
      <c r="P18" s="1">
        <v>0</v>
      </c>
      <c r="R18" s="1" t="str">
        <f t="shared" si="0"/>
        <v>人民币</v>
      </c>
      <c r="S18" s="1" t="str">
        <f t="shared" si="8"/>
        <v>T4000601</v>
      </c>
    </row>
    <row r="19" spans="1:19">
      <c r="A19" s="1" t="str">
        <f t="shared" si="7"/>
        <v>20191111</v>
      </c>
      <c r="D19" s="1" t="str">
        <f t="shared" ref="D19:D23" si="10">"偿还融资负债本金"</f>
        <v>偿还融资负债本金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-1679.26</v>
      </c>
      <c r="O19" s="1">
        <v>269371.59</v>
      </c>
      <c r="P19" s="1">
        <v>0</v>
      </c>
      <c r="R19" s="1" t="str">
        <f t="shared" si="0"/>
        <v>人民币</v>
      </c>
      <c r="S19" s="1" t="str">
        <f t="shared" si="8"/>
        <v>T4000601</v>
      </c>
    </row>
    <row r="20" spans="1:19">
      <c r="A20" s="1" t="str">
        <f t="shared" si="7"/>
        <v>20191111</v>
      </c>
      <c r="D20" s="1" t="str">
        <f t="shared" si="9"/>
        <v>偿还融资利息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-70.61</v>
      </c>
      <c r="O20" s="1">
        <v>269300.98</v>
      </c>
      <c r="P20" s="1">
        <v>0</v>
      </c>
      <c r="R20" s="1" t="str">
        <f t="shared" si="0"/>
        <v>人民币</v>
      </c>
      <c r="S20" s="1" t="str">
        <f t="shared" si="8"/>
        <v>T4000601</v>
      </c>
    </row>
    <row r="21" spans="1:19">
      <c r="A21" s="1" t="str">
        <f t="shared" si="7"/>
        <v>20191111</v>
      </c>
      <c r="D21" s="1" t="str">
        <f t="shared" si="10"/>
        <v>偿还融资负债本金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-13231.61</v>
      </c>
      <c r="O21" s="1">
        <v>256069.37</v>
      </c>
      <c r="P21" s="1">
        <v>0</v>
      </c>
      <c r="R21" s="1" t="str">
        <f t="shared" si="0"/>
        <v>人民币</v>
      </c>
      <c r="S21" s="1" t="str">
        <f t="shared" si="8"/>
        <v>T4000601</v>
      </c>
    </row>
    <row r="22" spans="1:19">
      <c r="A22" s="1" t="str">
        <f t="shared" si="7"/>
        <v>20191111</v>
      </c>
      <c r="D22" s="1" t="str">
        <f t="shared" si="9"/>
        <v>偿还融资利息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-41.67</v>
      </c>
      <c r="O22" s="1">
        <v>256027.7</v>
      </c>
      <c r="P22" s="1">
        <v>0</v>
      </c>
      <c r="R22" s="1" t="str">
        <f t="shared" si="0"/>
        <v>人民币</v>
      </c>
      <c r="S22" s="1" t="str">
        <f t="shared" si="8"/>
        <v>T4000601</v>
      </c>
    </row>
    <row r="23" spans="1:19">
      <c r="A23" s="1" t="str">
        <f t="shared" si="7"/>
        <v>20191111</v>
      </c>
      <c r="D23" s="1" t="str">
        <f t="shared" si="10"/>
        <v>偿还融资负债本金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-356.08</v>
      </c>
      <c r="O23" s="1">
        <v>255671.62</v>
      </c>
      <c r="P23" s="1">
        <v>0</v>
      </c>
      <c r="R23" s="1" t="str">
        <f t="shared" si="0"/>
        <v>人民币</v>
      </c>
      <c r="S23" s="1" t="str">
        <f t="shared" si="8"/>
        <v>T4000601</v>
      </c>
    </row>
    <row r="24" spans="1:19">
      <c r="A24" s="1" t="str">
        <f>"20191112"</f>
        <v>20191112</v>
      </c>
      <c r="B24" s="1" t="str">
        <f>"000601"</f>
        <v>000601</v>
      </c>
      <c r="C24" s="1" t="str">
        <f>"韶能股份"</f>
        <v>韶能股份</v>
      </c>
      <c r="D24" s="1" t="str">
        <f>"担保品卖出"</f>
        <v>担保品卖出</v>
      </c>
      <c r="E24" s="1">
        <v>5.84</v>
      </c>
      <c r="F24" s="1">
        <v>5000</v>
      </c>
      <c r="G24" s="1">
        <v>29200</v>
      </c>
      <c r="H24" s="1">
        <v>9.05</v>
      </c>
      <c r="I24" s="1">
        <v>6.47</v>
      </c>
      <c r="J24" s="1">
        <v>29.2</v>
      </c>
      <c r="K24" s="1">
        <v>0</v>
      </c>
      <c r="L24" s="1">
        <v>0</v>
      </c>
      <c r="M24" s="1">
        <v>0</v>
      </c>
      <c r="N24" s="1">
        <v>29161.75</v>
      </c>
      <c r="O24" s="1">
        <v>284833.37</v>
      </c>
      <c r="P24" s="1">
        <v>30000</v>
      </c>
      <c r="Q24" s="1" t="str">
        <f>"0602175409"</f>
        <v>0602175409</v>
      </c>
      <c r="R24" s="1" t="str">
        <f t="shared" si="0"/>
        <v>人民币</v>
      </c>
      <c r="S24" s="1" t="str">
        <f>"T4000519"</f>
        <v>T4000519</v>
      </c>
    </row>
    <row r="25" spans="1:19">
      <c r="A25" s="1" t="str">
        <f>"20191113"</f>
        <v>20191113</v>
      </c>
      <c r="B25" s="1" t="str">
        <f>"511990"</f>
        <v>511990</v>
      </c>
      <c r="C25" s="1" t="str">
        <f>"华宝添益"</f>
        <v>华宝添益</v>
      </c>
      <c r="D25" s="1" t="str">
        <f>"担保品买入"</f>
        <v>担保品买入</v>
      </c>
      <c r="E25" s="1">
        <v>99.995</v>
      </c>
      <c r="F25" s="1">
        <v>2500</v>
      </c>
      <c r="G25" s="1">
        <v>249987.5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-249987.5</v>
      </c>
      <c r="O25" s="1">
        <v>34845.87</v>
      </c>
      <c r="P25" s="1">
        <v>2500</v>
      </c>
      <c r="Q25" s="1" t="str">
        <f>"E021635187"</f>
        <v>E021635187</v>
      </c>
      <c r="R25" s="1" t="str">
        <f t="shared" si="0"/>
        <v>人民币</v>
      </c>
      <c r="S25" s="1" t="str">
        <f>"0136000569"</f>
        <v>0136000569</v>
      </c>
    </row>
    <row r="26" spans="1:19">
      <c r="A26" s="1" t="str">
        <f t="shared" ref="A26:A28" si="11">"20191119"</f>
        <v>20191119</v>
      </c>
      <c r="B26" s="1" t="str">
        <f>"000050"</f>
        <v>000050</v>
      </c>
      <c r="C26" s="1" t="str">
        <f>"深天马Ａ"</f>
        <v>深天马Ａ</v>
      </c>
      <c r="D26" s="1" t="str">
        <f>"卖券还款"</f>
        <v>卖券还款</v>
      </c>
      <c r="E26" s="1">
        <v>14.89</v>
      </c>
      <c r="F26" s="1">
        <v>500</v>
      </c>
      <c r="G26" s="1">
        <v>7445</v>
      </c>
      <c r="H26" s="1">
        <v>5</v>
      </c>
      <c r="I26" s="1">
        <v>4.34</v>
      </c>
      <c r="J26" s="1">
        <v>7.45</v>
      </c>
      <c r="K26" s="1">
        <v>0</v>
      </c>
      <c r="L26" s="1">
        <v>0</v>
      </c>
      <c r="M26" s="1">
        <v>0</v>
      </c>
      <c r="N26" s="1">
        <v>7432.55</v>
      </c>
      <c r="O26" s="1">
        <v>42278.42</v>
      </c>
      <c r="P26" s="1">
        <v>0</v>
      </c>
      <c r="Q26" s="1" t="str">
        <f>"0602175409"</f>
        <v>0602175409</v>
      </c>
      <c r="R26" s="1" t="str">
        <f t="shared" si="0"/>
        <v>人民币</v>
      </c>
      <c r="S26" s="1" t="str">
        <f t="shared" ref="S26:S28" si="12">"T4001722"</f>
        <v>T4001722</v>
      </c>
    </row>
    <row r="27" spans="1:19">
      <c r="A27" s="1" t="str">
        <f t="shared" si="11"/>
        <v>20191119</v>
      </c>
      <c r="D27" s="1" t="str">
        <f t="shared" ref="D27:D36" si="13">"偿还融资利息"</f>
        <v>偿还融资利息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-13.84</v>
      </c>
      <c r="O27" s="1">
        <v>42264.58</v>
      </c>
      <c r="P27" s="1">
        <v>0</v>
      </c>
      <c r="R27" s="1" t="str">
        <f t="shared" si="0"/>
        <v>人民币</v>
      </c>
      <c r="S27" s="1" t="str">
        <f t="shared" si="12"/>
        <v>T4001722</v>
      </c>
    </row>
    <row r="28" spans="1:19">
      <c r="A28" s="1" t="str">
        <f t="shared" si="11"/>
        <v>20191119</v>
      </c>
      <c r="D28" s="1" t="str">
        <f>"偿还融资负债本金"</f>
        <v>偿还融资负债本金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-7401.37</v>
      </c>
      <c r="O28" s="1">
        <v>34863.21</v>
      </c>
      <c r="P28" s="1">
        <v>0</v>
      </c>
      <c r="R28" s="1" t="str">
        <f t="shared" si="0"/>
        <v>人民币</v>
      </c>
      <c r="S28" s="1" t="str">
        <f t="shared" si="12"/>
        <v>T4001722</v>
      </c>
    </row>
    <row r="29" spans="1:18">
      <c r="A29" s="1" t="str">
        <f t="shared" ref="A29:A36" si="14">"20191120"</f>
        <v>20191120</v>
      </c>
      <c r="B29" s="1" t="str">
        <f>"511990"</f>
        <v>511990</v>
      </c>
      <c r="C29" s="1" t="str">
        <f>"华宝添益"</f>
        <v>华宝添益</v>
      </c>
      <c r="D29" s="1" t="str">
        <f>"红股入账"</f>
        <v>红股入账</v>
      </c>
      <c r="E29" s="1">
        <v>0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34863.21</v>
      </c>
      <c r="P29" s="1">
        <v>2501</v>
      </c>
      <c r="Q29" s="1" t="str">
        <f>"E021635187"</f>
        <v>E021635187</v>
      </c>
      <c r="R29" s="1" t="str">
        <f t="shared" si="0"/>
        <v>人民币</v>
      </c>
    </row>
    <row r="30" spans="1:18">
      <c r="A30" s="1" t="str">
        <f t="shared" si="14"/>
        <v>20191120</v>
      </c>
      <c r="D30" s="1" t="str">
        <f t="shared" si="13"/>
        <v>偿还融资利息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-0.04</v>
      </c>
      <c r="O30" s="1">
        <v>34863.17</v>
      </c>
      <c r="P30" s="1">
        <v>0</v>
      </c>
      <c r="R30" s="1" t="str">
        <f t="shared" si="0"/>
        <v>人民币</v>
      </c>
    </row>
    <row r="31" spans="1:18">
      <c r="A31" s="1" t="str">
        <f t="shared" si="14"/>
        <v>20191120</v>
      </c>
      <c r="D31" s="1" t="str">
        <f t="shared" si="13"/>
        <v>偿还融资利息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-59.73</v>
      </c>
      <c r="O31" s="1">
        <v>34803.44</v>
      </c>
      <c r="P31" s="1">
        <v>0</v>
      </c>
      <c r="R31" s="1" t="str">
        <f t="shared" si="0"/>
        <v>人民币</v>
      </c>
    </row>
    <row r="32" spans="1:18">
      <c r="A32" s="1" t="str">
        <f t="shared" si="14"/>
        <v>20191120</v>
      </c>
      <c r="D32" s="1" t="str">
        <f t="shared" si="13"/>
        <v>偿还融资利息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-55.82</v>
      </c>
      <c r="O32" s="1">
        <v>34747.62</v>
      </c>
      <c r="P32" s="1">
        <v>0</v>
      </c>
      <c r="R32" s="1" t="str">
        <f t="shared" si="0"/>
        <v>人民币</v>
      </c>
    </row>
    <row r="33" spans="1:18">
      <c r="A33" s="1" t="str">
        <f t="shared" si="14"/>
        <v>20191120</v>
      </c>
      <c r="D33" s="1" t="str">
        <f t="shared" si="13"/>
        <v>偿还融资利息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-85.44</v>
      </c>
      <c r="O33" s="1">
        <v>34662.18</v>
      </c>
      <c r="P33" s="1">
        <v>0</v>
      </c>
      <c r="R33" s="1" t="str">
        <f t="shared" si="0"/>
        <v>人民币</v>
      </c>
    </row>
    <row r="34" spans="1:18">
      <c r="A34" s="1" t="str">
        <f t="shared" si="14"/>
        <v>20191120</v>
      </c>
      <c r="D34" s="1" t="str">
        <f t="shared" si="13"/>
        <v>偿还融资利息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-44.66</v>
      </c>
      <c r="O34" s="1">
        <v>34617.52</v>
      </c>
      <c r="P34" s="1">
        <v>0</v>
      </c>
      <c r="R34" s="1" t="str">
        <f t="shared" si="0"/>
        <v>人民币</v>
      </c>
    </row>
    <row r="35" spans="1:18">
      <c r="A35" s="1" t="str">
        <f t="shared" si="14"/>
        <v>20191120</v>
      </c>
      <c r="D35" s="1" t="str">
        <f t="shared" si="13"/>
        <v>偿还融资利息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-23.66</v>
      </c>
      <c r="O35" s="1">
        <v>34593.86</v>
      </c>
      <c r="P35" s="1">
        <v>0</v>
      </c>
      <c r="R35" s="1" t="str">
        <f t="shared" si="0"/>
        <v>人民币</v>
      </c>
    </row>
    <row r="36" spans="1:18">
      <c r="A36" s="1" t="str">
        <f t="shared" si="14"/>
        <v>20191120</v>
      </c>
      <c r="D36" s="1" t="str">
        <f t="shared" si="13"/>
        <v>偿还融资利息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-36</v>
      </c>
      <c r="O36" s="1">
        <v>34557.86</v>
      </c>
      <c r="P36" s="1">
        <v>0</v>
      </c>
      <c r="R36" s="1" t="str">
        <f t="shared" si="0"/>
        <v>人民币</v>
      </c>
    </row>
    <row r="37" spans="1:19">
      <c r="A37" s="1" t="str">
        <f>"20191121"</f>
        <v>20191121</v>
      </c>
      <c r="B37" s="1" t="str">
        <f>"000768"</f>
        <v>000768</v>
      </c>
      <c r="C37" s="1" t="str">
        <f>"中航飞机"</f>
        <v>中航飞机</v>
      </c>
      <c r="D37" s="1" t="str">
        <f>"融资买入"</f>
        <v>融资买入</v>
      </c>
      <c r="E37" s="1">
        <v>15.65</v>
      </c>
      <c r="F37" s="1">
        <v>2000</v>
      </c>
      <c r="G37" s="1">
        <v>31300</v>
      </c>
      <c r="H37" s="1">
        <v>15.65</v>
      </c>
      <c r="I37" s="1">
        <v>12.87</v>
      </c>
      <c r="J37" s="1">
        <v>0</v>
      </c>
      <c r="K37" s="1">
        <v>0</v>
      </c>
      <c r="L37" s="1">
        <v>0</v>
      </c>
      <c r="M37" s="1">
        <v>0</v>
      </c>
      <c r="N37" s="1">
        <v>-31315.65</v>
      </c>
      <c r="O37" s="1">
        <v>3242.21</v>
      </c>
      <c r="P37" s="1">
        <v>4000</v>
      </c>
      <c r="Q37" s="1" t="str">
        <f t="shared" ref="Q37:Q41" si="15">"0602175409"</f>
        <v>0602175409</v>
      </c>
      <c r="R37" s="1" t="str">
        <f t="shared" si="0"/>
        <v>人民币</v>
      </c>
      <c r="S37" s="1" t="str">
        <f>"T4001403"</f>
        <v>T4001403</v>
      </c>
    </row>
    <row r="38" spans="1:19">
      <c r="A38" s="1" t="str">
        <f>"20191121"</f>
        <v>20191121</v>
      </c>
      <c r="D38" s="1" t="str">
        <f>"融资借入"</f>
        <v>融资借入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31315.65</v>
      </c>
      <c r="O38" s="1">
        <v>34557.86</v>
      </c>
      <c r="P38" s="1">
        <v>0</v>
      </c>
      <c r="R38" s="1" t="str">
        <f t="shared" si="0"/>
        <v>人民币</v>
      </c>
      <c r="S38" s="1" t="str">
        <f>"T4001403"</f>
        <v>T4001403</v>
      </c>
    </row>
    <row r="39" spans="1:18">
      <c r="A39" s="1" t="str">
        <f>"20191126"</f>
        <v>20191126</v>
      </c>
      <c r="B39" s="1" t="str">
        <f>"511990"</f>
        <v>511990</v>
      </c>
      <c r="C39" s="1" t="str">
        <f>"华宝添益"</f>
        <v>华宝添益</v>
      </c>
      <c r="D39" s="1" t="str">
        <f>"红股入账"</f>
        <v>红股入账</v>
      </c>
      <c r="E39" s="1">
        <v>0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34557.86</v>
      </c>
      <c r="P39" s="1">
        <v>2502</v>
      </c>
      <c r="Q39" s="1" t="str">
        <f>"E021635187"</f>
        <v>E021635187</v>
      </c>
      <c r="R39" s="1" t="str">
        <f t="shared" si="0"/>
        <v>人民币</v>
      </c>
    </row>
    <row r="40" spans="1:19">
      <c r="A40" s="1" t="str">
        <f t="shared" ref="A40:A54" si="16">"20191127"</f>
        <v>20191127</v>
      </c>
      <c r="B40" s="1" t="str">
        <f>"000768"</f>
        <v>000768</v>
      </c>
      <c r="C40" s="1" t="str">
        <f>"中航飞机"</f>
        <v>中航飞机</v>
      </c>
      <c r="D40" s="1" t="str">
        <f>"卖券还款"</f>
        <v>卖券还款</v>
      </c>
      <c r="E40" s="1">
        <v>15.81</v>
      </c>
      <c r="F40" s="1">
        <v>2000</v>
      </c>
      <c r="G40" s="1">
        <v>31620</v>
      </c>
      <c r="H40" s="1">
        <v>15.81</v>
      </c>
      <c r="I40" s="1">
        <v>13.01</v>
      </c>
      <c r="J40" s="1">
        <v>31.62</v>
      </c>
      <c r="K40" s="1">
        <v>0</v>
      </c>
      <c r="L40" s="1">
        <v>0</v>
      </c>
      <c r="M40" s="1">
        <v>0</v>
      </c>
      <c r="N40" s="1">
        <v>31572.57</v>
      </c>
      <c r="O40" s="1">
        <v>66130.43</v>
      </c>
      <c r="P40" s="1">
        <v>2000</v>
      </c>
      <c r="Q40" s="1" t="str">
        <f t="shared" si="15"/>
        <v>0602175409</v>
      </c>
      <c r="R40" s="1" t="str">
        <f t="shared" si="0"/>
        <v>人民币</v>
      </c>
      <c r="S40" s="1" t="str">
        <f t="shared" ref="S40:S51" si="17">"T4000111"</f>
        <v>T4000111</v>
      </c>
    </row>
    <row r="41" spans="1:19">
      <c r="A41" s="1" t="str">
        <f t="shared" si="16"/>
        <v>20191127</v>
      </c>
      <c r="B41" s="1" t="str">
        <f>"000543"</f>
        <v>000543</v>
      </c>
      <c r="C41" s="1" t="str">
        <f>"皖能电力"</f>
        <v>皖能电力</v>
      </c>
      <c r="D41" s="1" t="str">
        <f>"卖券还款"</f>
        <v>卖券还款</v>
      </c>
      <c r="E41" s="1">
        <v>4.73</v>
      </c>
      <c r="F41" s="1">
        <v>3000</v>
      </c>
      <c r="G41" s="1">
        <v>14190</v>
      </c>
      <c r="H41" s="1">
        <v>7.1</v>
      </c>
      <c r="I41" s="1">
        <v>5.84</v>
      </c>
      <c r="J41" s="1">
        <v>14.19</v>
      </c>
      <c r="K41" s="1">
        <v>0</v>
      </c>
      <c r="L41" s="1">
        <v>0</v>
      </c>
      <c r="M41" s="1">
        <v>0</v>
      </c>
      <c r="N41" s="1">
        <v>14168.71</v>
      </c>
      <c r="O41" s="1">
        <v>80299.14</v>
      </c>
      <c r="P41" s="1">
        <v>10000</v>
      </c>
      <c r="Q41" s="1" t="str">
        <f t="shared" si="15"/>
        <v>0602175409</v>
      </c>
      <c r="R41" s="1" t="str">
        <f t="shared" si="0"/>
        <v>人民币</v>
      </c>
      <c r="S41" s="1" t="str">
        <f>"T4000124"</f>
        <v>T4000124</v>
      </c>
    </row>
    <row r="42" spans="1:19">
      <c r="A42" s="1" t="str">
        <f t="shared" si="16"/>
        <v>20191127</v>
      </c>
      <c r="D42" s="1" t="str">
        <f t="shared" ref="D42:D46" si="18">"偿还融资利息"</f>
        <v>偿还融资利息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-0.11</v>
      </c>
      <c r="O42" s="1">
        <v>80299.03</v>
      </c>
      <c r="P42" s="1">
        <v>0</v>
      </c>
      <c r="R42" s="1" t="str">
        <f t="shared" si="0"/>
        <v>人民币</v>
      </c>
      <c r="S42" s="1" t="str">
        <f t="shared" si="17"/>
        <v>T4000111</v>
      </c>
    </row>
    <row r="43" spans="1:19">
      <c r="A43" s="1" t="str">
        <f t="shared" si="16"/>
        <v>20191127</v>
      </c>
      <c r="D43" s="1" t="str">
        <f t="shared" ref="D43:D47" si="19">"偿还融资负债本金"</f>
        <v>偿还融资负债本金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-67.55</v>
      </c>
      <c r="O43" s="1">
        <v>80231.48</v>
      </c>
      <c r="P43" s="1">
        <v>0</v>
      </c>
      <c r="R43" s="1" t="str">
        <f t="shared" si="0"/>
        <v>人民币</v>
      </c>
      <c r="S43" s="1" t="str">
        <f t="shared" si="17"/>
        <v>T4000111</v>
      </c>
    </row>
    <row r="44" spans="1:19">
      <c r="A44" s="1" t="str">
        <f t="shared" si="16"/>
        <v>20191127</v>
      </c>
      <c r="D44" s="1" t="str">
        <f t="shared" si="18"/>
        <v>偿还融资利息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-10.86</v>
      </c>
      <c r="O44" s="1">
        <v>80220.62</v>
      </c>
      <c r="P44" s="1">
        <v>0</v>
      </c>
      <c r="R44" s="1" t="str">
        <f t="shared" si="0"/>
        <v>人民币</v>
      </c>
      <c r="S44" s="1" t="str">
        <f t="shared" si="17"/>
        <v>T4000111</v>
      </c>
    </row>
    <row r="45" spans="1:19">
      <c r="A45" s="1" t="str">
        <f t="shared" si="16"/>
        <v>20191127</v>
      </c>
      <c r="D45" s="1" t="str">
        <f t="shared" si="19"/>
        <v>偿还融资负债本金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-7800</v>
      </c>
      <c r="O45" s="1">
        <v>72420.62</v>
      </c>
      <c r="P45" s="1">
        <v>0</v>
      </c>
      <c r="R45" s="1" t="str">
        <f t="shared" si="0"/>
        <v>人民币</v>
      </c>
      <c r="S45" s="1" t="str">
        <f t="shared" si="17"/>
        <v>T4000111</v>
      </c>
    </row>
    <row r="46" spans="1:19">
      <c r="A46" s="1" t="str">
        <f t="shared" si="16"/>
        <v>20191127</v>
      </c>
      <c r="D46" s="1" t="str">
        <f t="shared" si="18"/>
        <v>偿还融资利息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-10.15</v>
      </c>
      <c r="O46" s="1">
        <v>72410.47</v>
      </c>
      <c r="P46" s="1">
        <v>0</v>
      </c>
      <c r="R46" s="1" t="str">
        <f t="shared" si="0"/>
        <v>人民币</v>
      </c>
      <c r="S46" s="1" t="str">
        <f t="shared" si="17"/>
        <v>T4000111</v>
      </c>
    </row>
    <row r="47" spans="1:19">
      <c r="A47" s="1" t="str">
        <f t="shared" si="16"/>
        <v>20191127</v>
      </c>
      <c r="D47" s="1" t="str">
        <f t="shared" si="19"/>
        <v>偿还融资负债本金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-7300.15</v>
      </c>
      <c r="O47" s="1">
        <v>65110.32</v>
      </c>
      <c r="P47" s="1">
        <v>0</v>
      </c>
      <c r="R47" s="1" t="str">
        <f t="shared" si="0"/>
        <v>人民币</v>
      </c>
      <c r="S47" s="1" t="str">
        <f t="shared" si="17"/>
        <v>T4000111</v>
      </c>
    </row>
    <row r="48" spans="1:19">
      <c r="A48" s="1" t="str">
        <f t="shared" si="16"/>
        <v>20191127</v>
      </c>
      <c r="D48" s="1" t="str">
        <f t="shared" ref="D48:D53" si="20">"偿还融资利息"</f>
        <v>偿还融资利息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-21.36</v>
      </c>
      <c r="O48" s="1">
        <v>65088.96</v>
      </c>
      <c r="P48" s="1">
        <v>0</v>
      </c>
      <c r="R48" s="1" t="str">
        <f t="shared" si="0"/>
        <v>人民币</v>
      </c>
      <c r="S48" s="1" t="str">
        <f t="shared" si="17"/>
        <v>T4000111</v>
      </c>
    </row>
    <row r="49" spans="1:19">
      <c r="A49" s="1" t="str">
        <f t="shared" si="16"/>
        <v>20191127</v>
      </c>
      <c r="D49" s="1" t="str">
        <f t="shared" ref="D49:D52" si="21">"偿还融资负债本金"</f>
        <v>偿还融资负债本金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-15347.67</v>
      </c>
      <c r="O49" s="1">
        <v>49741.29</v>
      </c>
      <c r="P49" s="1">
        <v>0</v>
      </c>
      <c r="R49" s="1" t="str">
        <f t="shared" si="0"/>
        <v>人民币</v>
      </c>
      <c r="S49" s="1" t="str">
        <f t="shared" si="17"/>
        <v>T4000111</v>
      </c>
    </row>
    <row r="50" spans="1:19">
      <c r="A50" s="1" t="str">
        <f t="shared" si="16"/>
        <v>20191127</v>
      </c>
      <c r="D50" s="1" t="str">
        <f t="shared" si="20"/>
        <v>偿还融资利息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-19.14</v>
      </c>
      <c r="O50" s="1">
        <v>49722.15</v>
      </c>
      <c r="P50" s="1">
        <v>0</v>
      </c>
      <c r="R50" s="1" t="str">
        <f t="shared" si="0"/>
        <v>人民币</v>
      </c>
      <c r="S50" s="1" t="str">
        <f t="shared" si="17"/>
        <v>T4000111</v>
      </c>
    </row>
    <row r="51" spans="1:19">
      <c r="A51" s="1" t="str">
        <f t="shared" si="16"/>
        <v>20191127</v>
      </c>
      <c r="D51" s="1" t="str">
        <f t="shared" si="21"/>
        <v>偿还融资负债本金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-916.53</v>
      </c>
      <c r="O51" s="1">
        <v>48805.62</v>
      </c>
      <c r="P51" s="1">
        <v>0</v>
      </c>
      <c r="R51" s="1" t="str">
        <f t="shared" si="0"/>
        <v>人民币</v>
      </c>
      <c r="S51" s="1" t="str">
        <f t="shared" si="17"/>
        <v>T4000111</v>
      </c>
    </row>
    <row r="52" spans="1:19">
      <c r="A52" s="1" t="str">
        <f t="shared" si="16"/>
        <v>20191127</v>
      </c>
      <c r="D52" s="1" t="str">
        <f t="shared" si="21"/>
        <v>偿还融资负债本金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-12830.34</v>
      </c>
      <c r="O52" s="1">
        <v>35975.28</v>
      </c>
      <c r="P52" s="1">
        <v>0</v>
      </c>
      <c r="R52" s="1" t="str">
        <f t="shared" si="0"/>
        <v>人民币</v>
      </c>
      <c r="S52" s="1" t="str">
        <f t="shared" ref="S52:S54" si="22">"T4000124"</f>
        <v>T4000124</v>
      </c>
    </row>
    <row r="53" spans="1:19">
      <c r="A53" s="1" t="str">
        <f t="shared" si="16"/>
        <v>20191127</v>
      </c>
      <c r="D53" s="1" t="str">
        <f t="shared" si="20"/>
        <v>偿还融资利息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-10.14</v>
      </c>
      <c r="O53" s="1">
        <v>35965.14</v>
      </c>
      <c r="P53" s="1">
        <v>0</v>
      </c>
      <c r="R53" s="1" t="str">
        <f t="shared" si="0"/>
        <v>人民币</v>
      </c>
      <c r="S53" s="1" t="str">
        <f t="shared" si="22"/>
        <v>T4000124</v>
      </c>
    </row>
    <row r="54" spans="1:19">
      <c r="A54" s="1" t="str">
        <f t="shared" si="16"/>
        <v>20191127</v>
      </c>
      <c r="D54" s="1" t="str">
        <f>"偿还融资负债本金"</f>
        <v>偿还融资负债本金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-1292.76</v>
      </c>
      <c r="O54" s="1">
        <v>34672.38</v>
      </c>
      <c r="P54" s="1">
        <v>0</v>
      </c>
      <c r="R54" s="1" t="str">
        <f t="shared" si="0"/>
        <v>人民币</v>
      </c>
      <c r="S54" s="1" t="str">
        <f t="shared" si="22"/>
        <v>T4000124</v>
      </c>
    </row>
    <row r="55" spans="1:18">
      <c r="A55" s="1" t="str">
        <f>"20191128"</f>
        <v>20191128</v>
      </c>
      <c r="B55" s="1" t="str">
        <f>"000543"</f>
        <v>000543</v>
      </c>
      <c r="C55" s="1" t="str">
        <f>"皖能电力"</f>
        <v>皖能电力</v>
      </c>
      <c r="D55" s="1" t="str">
        <f>"股息红利差异扣税"</f>
        <v>股息红利差异扣税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-6.6</v>
      </c>
      <c r="O55" s="1">
        <v>34665.78</v>
      </c>
      <c r="P55" s="1">
        <v>0</v>
      </c>
      <c r="Q55" s="1" t="str">
        <f>"0602175409"</f>
        <v>0602175409</v>
      </c>
      <c r="R55" s="1" t="str">
        <f t="shared" si="0"/>
        <v>人民币</v>
      </c>
    </row>
    <row r="56" spans="1:18">
      <c r="A56" s="1" t="str">
        <f>"20191202"</f>
        <v>20191202</v>
      </c>
      <c r="B56" s="1" t="str">
        <f t="shared" ref="B56:B58" si="23">"511990"</f>
        <v>511990</v>
      </c>
      <c r="C56" s="1" t="str">
        <f t="shared" ref="C56:C58" si="24">"华宝添益"</f>
        <v>华宝添益</v>
      </c>
      <c r="D56" s="1" t="str">
        <f>"红股入账"</f>
        <v>红股入账</v>
      </c>
      <c r="E56" s="1">
        <v>0</v>
      </c>
      <c r="F56" s="1">
        <v>1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34665.78</v>
      </c>
      <c r="P56" s="1">
        <v>2503</v>
      </c>
      <c r="Q56" s="1" t="str">
        <f t="shared" ref="Q56:Q58" si="25">"E021635187"</f>
        <v>E021635187</v>
      </c>
      <c r="R56" s="1" t="str">
        <f t="shared" si="0"/>
        <v>人民币</v>
      </c>
    </row>
    <row r="57" spans="1:19">
      <c r="A57" s="1" t="str">
        <f>"20191203"</f>
        <v>20191203</v>
      </c>
      <c r="B57" s="1" t="str">
        <f t="shared" si="23"/>
        <v>511990</v>
      </c>
      <c r="C57" s="1" t="str">
        <f t="shared" si="24"/>
        <v>华宝添益</v>
      </c>
      <c r="D57" s="1" t="str">
        <f>"担保物转出"</f>
        <v>担保物转出</v>
      </c>
      <c r="E57" s="1">
        <v>99.988</v>
      </c>
      <c r="F57" s="1">
        <v>2503</v>
      </c>
      <c r="G57" s="1">
        <v>250269.96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34665.78</v>
      </c>
      <c r="P57" s="1">
        <v>0</v>
      </c>
      <c r="Q57" s="1" t="str">
        <f t="shared" si="25"/>
        <v>E021635187</v>
      </c>
      <c r="R57" s="1" t="str">
        <f t="shared" si="0"/>
        <v>人民币</v>
      </c>
      <c r="S57" s="1" t="str">
        <f>"0136000387"</f>
        <v>0136000387</v>
      </c>
    </row>
    <row r="58" spans="1:18">
      <c r="A58" s="1" t="str">
        <f>"20191204"</f>
        <v>20191204</v>
      </c>
      <c r="B58" s="1" t="str">
        <f t="shared" si="23"/>
        <v>511990</v>
      </c>
      <c r="C58" s="1" t="str">
        <f t="shared" si="24"/>
        <v>华宝添益</v>
      </c>
      <c r="D58" s="1" t="str">
        <f>"ETF 申购退款"</f>
        <v>ETF 申购退款</v>
      </c>
      <c r="E58" s="1">
        <v>0</v>
      </c>
      <c r="F58" s="1">
        <v>0</v>
      </c>
      <c r="G58" s="1">
        <v>17.04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17.04</v>
      </c>
      <c r="O58" s="1">
        <v>34682.82</v>
      </c>
      <c r="P58" s="1">
        <v>0</v>
      </c>
      <c r="Q58" s="1" t="str">
        <f t="shared" si="25"/>
        <v>E021635187</v>
      </c>
      <c r="R58" s="1" t="str">
        <f t="shared" si="0"/>
        <v>人民币</v>
      </c>
    </row>
    <row r="59" spans="1:19">
      <c r="A59" s="1" t="str">
        <f t="shared" ref="A59:A63" si="26">"20191209"</f>
        <v>20191209</v>
      </c>
      <c r="B59" s="1" t="str">
        <f>"000768"</f>
        <v>000768</v>
      </c>
      <c r="C59" s="1" t="str">
        <f>"中航飞机"</f>
        <v>中航飞机</v>
      </c>
      <c r="D59" s="1" t="str">
        <f>"卖券还款"</f>
        <v>卖券还款</v>
      </c>
      <c r="E59" s="1">
        <v>16.19</v>
      </c>
      <c r="F59" s="1">
        <v>1000</v>
      </c>
      <c r="G59" s="1">
        <v>16190</v>
      </c>
      <c r="H59" s="1">
        <v>8.1</v>
      </c>
      <c r="I59" s="1">
        <v>6.66</v>
      </c>
      <c r="J59" s="1">
        <v>16.19</v>
      </c>
      <c r="K59" s="1">
        <v>0</v>
      </c>
      <c r="L59" s="1">
        <v>0</v>
      </c>
      <c r="M59" s="1">
        <v>0</v>
      </c>
      <c r="N59" s="1">
        <v>16165.71</v>
      </c>
      <c r="O59" s="1">
        <v>50848.53</v>
      </c>
      <c r="P59" s="1">
        <v>1000</v>
      </c>
      <c r="Q59" s="1" t="str">
        <f>"0602175409"</f>
        <v>0602175409</v>
      </c>
      <c r="R59" s="1" t="str">
        <f t="shared" si="0"/>
        <v>人民币</v>
      </c>
      <c r="S59" s="1" t="str">
        <f t="shared" ref="S59:S63" si="27">"T4000090"</f>
        <v>T4000090</v>
      </c>
    </row>
    <row r="60" spans="1:19">
      <c r="A60" s="1" t="str">
        <f t="shared" si="26"/>
        <v>20191209</v>
      </c>
      <c r="D60" s="1" t="str">
        <f>"偿还融资利息"</f>
        <v>偿还融资利息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-16.68</v>
      </c>
      <c r="O60" s="1">
        <v>50831.85</v>
      </c>
      <c r="P60" s="1">
        <v>0</v>
      </c>
      <c r="R60" s="1" t="str">
        <f t="shared" si="0"/>
        <v>人民币</v>
      </c>
      <c r="S60" s="1" t="str">
        <f t="shared" si="27"/>
        <v>T4000090</v>
      </c>
    </row>
    <row r="61" spans="1:19">
      <c r="A61" s="1" t="str">
        <f t="shared" si="26"/>
        <v>20191209</v>
      </c>
      <c r="D61" s="1" t="str">
        <f>"偿还融资负债本金"</f>
        <v>偿还融资负债本金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-5987.24</v>
      </c>
      <c r="O61" s="1">
        <v>44844.61</v>
      </c>
      <c r="P61" s="1">
        <v>0</v>
      </c>
      <c r="R61" s="1" t="str">
        <f t="shared" si="0"/>
        <v>人民币</v>
      </c>
      <c r="S61" s="1" t="str">
        <f t="shared" si="27"/>
        <v>T4000090</v>
      </c>
    </row>
    <row r="62" spans="1:19">
      <c r="A62" s="1" t="str">
        <f t="shared" si="26"/>
        <v>20191209</v>
      </c>
      <c r="D62" s="1" t="str">
        <f>"偿还融资利息"</f>
        <v>偿还融资利息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-64.8</v>
      </c>
      <c r="O62" s="1">
        <v>44779.81</v>
      </c>
      <c r="P62" s="1">
        <v>0</v>
      </c>
      <c r="R62" s="1" t="str">
        <f t="shared" si="0"/>
        <v>人民币</v>
      </c>
      <c r="S62" s="1" t="str">
        <f t="shared" si="27"/>
        <v>T4000090</v>
      </c>
    </row>
    <row r="63" spans="1:19">
      <c r="A63" s="1" t="str">
        <f t="shared" si="26"/>
        <v>20191209</v>
      </c>
      <c r="D63" s="1" t="str">
        <f>"偿还融资负债本金"</f>
        <v>偿还融资负债本金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-10056.52</v>
      </c>
      <c r="O63" s="1">
        <v>34723.29</v>
      </c>
      <c r="P63" s="1">
        <v>0</v>
      </c>
      <c r="R63" s="1" t="str">
        <f t="shared" si="0"/>
        <v>人民币</v>
      </c>
      <c r="S63" s="1" t="str">
        <f t="shared" si="27"/>
        <v>T4000090</v>
      </c>
    </row>
    <row r="64" spans="1:18">
      <c r="A64" s="1" t="str">
        <f>"20191210"</f>
        <v>20191210</v>
      </c>
      <c r="D64" s="1" t="str">
        <f>"证券转银行"</f>
        <v>证券转银行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-28000</v>
      </c>
      <c r="O64" s="1">
        <v>6723.29</v>
      </c>
      <c r="P64" s="1">
        <v>0</v>
      </c>
      <c r="R64" s="1" t="str">
        <f t="shared" si="0"/>
        <v>人民币</v>
      </c>
    </row>
    <row r="65" spans="1:19">
      <c r="A65" s="1" t="str">
        <f>"20191211"</f>
        <v>20191211</v>
      </c>
      <c r="B65" s="1" t="str">
        <f>"000543"</f>
        <v>000543</v>
      </c>
      <c r="C65" s="1" t="str">
        <f>"皖能电力"</f>
        <v>皖能电力</v>
      </c>
      <c r="D65" s="1" t="str">
        <f>"融资买入"</f>
        <v>融资买入</v>
      </c>
      <c r="E65" s="1">
        <v>4.5</v>
      </c>
      <c r="F65" s="1">
        <v>3000</v>
      </c>
      <c r="G65" s="1">
        <v>13500</v>
      </c>
      <c r="H65" s="1">
        <v>6.75</v>
      </c>
      <c r="I65" s="1">
        <v>5.55</v>
      </c>
      <c r="J65" s="1">
        <v>0</v>
      </c>
      <c r="K65" s="1">
        <v>0</v>
      </c>
      <c r="L65" s="1">
        <v>0</v>
      </c>
      <c r="M65" s="1">
        <v>0</v>
      </c>
      <c r="N65" s="1">
        <v>-13506.75</v>
      </c>
      <c r="O65" s="1">
        <v>-6783.46</v>
      </c>
      <c r="P65" s="1">
        <v>13000</v>
      </c>
      <c r="Q65" s="1" t="str">
        <f t="shared" ref="Q65:Q70" si="28">"0602175409"</f>
        <v>0602175409</v>
      </c>
      <c r="R65" s="1" t="str">
        <f t="shared" si="0"/>
        <v>人民币</v>
      </c>
      <c r="S65" s="1" t="str">
        <f>"T4000032"</f>
        <v>T4000032</v>
      </c>
    </row>
    <row r="66" spans="1:19">
      <c r="A66" s="1" t="str">
        <f>"20191211"</f>
        <v>20191211</v>
      </c>
      <c r="D66" s="1" t="str">
        <f>"融资借入"</f>
        <v>融资借入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13506.75</v>
      </c>
      <c r="O66" s="1">
        <v>6723.29</v>
      </c>
      <c r="P66" s="1">
        <v>0</v>
      </c>
      <c r="R66" s="1" t="str">
        <f t="shared" ref="R66:R83" si="29">"人民币"</f>
        <v>人民币</v>
      </c>
      <c r="S66" s="1" t="str">
        <f>"T4000032"</f>
        <v>T4000032</v>
      </c>
    </row>
    <row r="67" spans="1:19">
      <c r="A67" s="1" t="str">
        <f t="shared" ref="A67:A69" si="30">"20191213"</f>
        <v>20191213</v>
      </c>
      <c r="B67" s="1" t="str">
        <f>"000768"</f>
        <v>000768</v>
      </c>
      <c r="C67" s="1" t="str">
        <f>"中航飞机"</f>
        <v>中航飞机</v>
      </c>
      <c r="D67" s="1" t="str">
        <f>"融资买入"</f>
        <v>融资买入</v>
      </c>
      <c r="E67" s="1">
        <v>15.99</v>
      </c>
      <c r="F67" s="1">
        <v>1000</v>
      </c>
      <c r="G67" s="1">
        <v>15990</v>
      </c>
      <c r="H67" s="1">
        <v>8</v>
      </c>
      <c r="I67" s="1">
        <v>6.58</v>
      </c>
      <c r="J67" s="1">
        <v>0</v>
      </c>
      <c r="K67" s="1">
        <v>0</v>
      </c>
      <c r="L67" s="1">
        <v>0</v>
      </c>
      <c r="M67" s="1">
        <v>0</v>
      </c>
      <c r="N67" s="1">
        <v>-15998</v>
      </c>
      <c r="O67" s="1">
        <v>-9274.71</v>
      </c>
      <c r="P67" s="1">
        <v>2000</v>
      </c>
      <c r="Q67" s="1" t="str">
        <f t="shared" si="28"/>
        <v>0602175409</v>
      </c>
      <c r="R67" s="1" t="str">
        <f t="shared" si="29"/>
        <v>人民币</v>
      </c>
      <c r="S67" s="1" t="str">
        <f>"T4000192"</f>
        <v>T4000192</v>
      </c>
    </row>
    <row r="68" spans="1:19">
      <c r="A68" s="1" t="str">
        <f t="shared" si="30"/>
        <v>20191213</v>
      </c>
      <c r="B68" s="1" t="str">
        <f>"600028"</f>
        <v>600028</v>
      </c>
      <c r="C68" s="1" t="str">
        <f>"中国石化"</f>
        <v>中国石化</v>
      </c>
      <c r="D68" s="1" t="str">
        <f>"担保品买入"</f>
        <v>担保品买入</v>
      </c>
      <c r="E68" s="1">
        <v>4.97</v>
      </c>
      <c r="F68" s="1">
        <v>1300</v>
      </c>
      <c r="G68" s="1">
        <v>6461</v>
      </c>
      <c r="H68" s="1">
        <v>5</v>
      </c>
      <c r="I68" s="1">
        <v>4.56</v>
      </c>
      <c r="J68" s="1">
        <v>0</v>
      </c>
      <c r="K68" s="1">
        <v>0.13</v>
      </c>
      <c r="L68" s="1">
        <v>0</v>
      </c>
      <c r="M68" s="1">
        <v>0</v>
      </c>
      <c r="N68" s="1">
        <v>-6466.13</v>
      </c>
      <c r="O68" s="1">
        <v>-15740.84</v>
      </c>
      <c r="P68" s="1">
        <v>1300</v>
      </c>
      <c r="Q68" s="1" t="str">
        <f>"E021635187"</f>
        <v>E021635187</v>
      </c>
      <c r="R68" s="1" t="str">
        <f t="shared" si="29"/>
        <v>人民币</v>
      </c>
      <c r="S68" s="1" t="str">
        <f>"0136000141"</f>
        <v>0136000141</v>
      </c>
    </row>
    <row r="69" spans="1:19">
      <c r="A69" s="1" t="str">
        <f t="shared" si="30"/>
        <v>20191213</v>
      </c>
      <c r="D69" s="1" t="str">
        <f>"融资借入"</f>
        <v>融资借入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15998</v>
      </c>
      <c r="O69" s="1">
        <v>257.16</v>
      </c>
      <c r="P69" s="1">
        <v>0</v>
      </c>
      <c r="R69" s="1" t="str">
        <f t="shared" si="29"/>
        <v>人民币</v>
      </c>
      <c r="S69" s="1" t="str">
        <f>"T4000192"</f>
        <v>T4000192</v>
      </c>
    </row>
    <row r="70" spans="1:19">
      <c r="A70" s="1" t="str">
        <f t="shared" ref="A70:A74" si="31">"20191216"</f>
        <v>20191216</v>
      </c>
      <c r="B70" s="1" t="str">
        <f>"000543"</f>
        <v>000543</v>
      </c>
      <c r="C70" s="1" t="str">
        <f>"皖能电力"</f>
        <v>皖能电力</v>
      </c>
      <c r="D70" s="1" t="str">
        <f>"卖券还款"</f>
        <v>卖券还款</v>
      </c>
      <c r="E70" s="1">
        <v>4.61</v>
      </c>
      <c r="F70" s="1">
        <v>3000</v>
      </c>
      <c r="G70" s="1">
        <v>13830</v>
      </c>
      <c r="H70" s="1">
        <v>6.92</v>
      </c>
      <c r="I70" s="1">
        <v>5.69</v>
      </c>
      <c r="J70" s="1">
        <v>13.83</v>
      </c>
      <c r="K70" s="1">
        <v>0</v>
      </c>
      <c r="L70" s="1">
        <v>0</v>
      </c>
      <c r="M70" s="1">
        <v>0</v>
      </c>
      <c r="N70" s="1">
        <v>13809.25</v>
      </c>
      <c r="O70" s="1">
        <v>14066.41</v>
      </c>
      <c r="P70" s="1">
        <v>10000</v>
      </c>
      <c r="Q70" s="1" t="str">
        <f t="shared" si="28"/>
        <v>0602175409</v>
      </c>
      <c r="R70" s="1" t="str">
        <f t="shared" si="29"/>
        <v>人民币</v>
      </c>
      <c r="S70" s="1" t="str">
        <f t="shared" ref="S70:S74" si="32">"T4000138"</f>
        <v>T4000138</v>
      </c>
    </row>
    <row r="71" spans="1:19">
      <c r="A71" s="1" t="str">
        <f t="shared" si="31"/>
        <v>20191216</v>
      </c>
      <c r="D71" s="1" t="str">
        <f>"偿还融资利息"</f>
        <v>偿还融资利息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-8.89</v>
      </c>
      <c r="O71" s="1">
        <v>14057.52</v>
      </c>
      <c r="P71" s="1">
        <v>0</v>
      </c>
      <c r="R71" s="1" t="str">
        <f t="shared" si="29"/>
        <v>人民币</v>
      </c>
      <c r="S71" s="1" t="str">
        <f t="shared" si="32"/>
        <v>T4000138</v>
      </c>
    </row>
    <row r="72" spans="1:19">
      <c r="A72" s="1" t="str">
        <f t="shared" si="31"/>
        <v>20191216</v>
      </c>
      <c r="D72" s="1" t="str">
        <f>"偿还融资负债本金"</f>
        <v>偿还融资负债本金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-5471.24</v>
      </c>
      <c r="O72" s="1">
        <v>8586.28</v>
      </c>
      <c r="P72" s="1">
        <v>0</v>
      </c>
      <c r="R72" s="1" t="str">
        <f t="shared" si="29"/>
        <v>人民币</v>
      </c>
      <c r="S72" s="1" t="str">
        <f t="shared" si="32"/>
        <v>T4000138</v>
      </c>
    </row>
    <row r="73" spans="1:19">
      <c r="A73" s="1" t="str">
        <f t="shared" si="31"/>
        <v>20191216</v>
      </c>
      <c r="D73" s="1" t="str">
        <f t="shared" ref="D73:D79" si="33">"偿还融资利息"</f>
        <v>偿还融资利息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-181.54</v>
      </c>
      <c r="O73" s="1">
        <v>8404.74</v>
      </c>
      <c r="P73" s="1">
        <v>0</v>
      </c>
      <c r="R73" s="1" t="str">
        <f t="shared" si="29"/>
        <v>人民币</v>
      </c>
      <c r="S73" s="1" t="str">
        <f t="shared" si="32"/>
        <v>T4000138</v>
      </c>
    </row>
    <row r="74" spans="1:19">
      <c r="A74" s="1" t="str">
        <f t="shared" si="31"/>
        <v>20191216</v>
      </c>
      <c r="D74" s="1" t="str">
        <f>"偿还融资负债本金"</f>
        <v>偿还融资负债本金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-8113.01</v>
      </c>
      <c r="O74" s="1">
        <v>291.73</v>
      </c>
      <c r="P74" s="1">
        <v>0</v>
      </c>
      <c r="R74" s="1" t="str">
        <f t="shared" si="29"/>
        <v>人民币</v>
      </c>
      <c r="S74" s="1" t="str">
        <f t="shared" si="32"/>
        <v>T4000138</v>
      </c>
    </row>
    <row r="75" spans="1:18">
      <c r="A75" s="1" t="str">
        <f>"20191217"</f>
        <v>20191217</v>
      </c>
      <c r="B75" s="1" t="str">
        <f>"000543"</f>
        <v>000543</v>
      </c>
      <c r="C75" s="1" t="str">
        <f>"皖能电力"</f>
        <v>皖能电力</v>
      </c>
      <c r="D75" s="1" t="str">
        <f>"股息红利差异扣税"</f>
        <v>股息红利差异扣税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-13.2</v>
      </c>
      <c r="O75" s="1">
        <v>278.53</v>
      </c>
      <c r="P75" s="1">
        <v>0</v>
      </c>
      <c r="Q75" s="1" t="str">
        <f>"0602175409"</f>
        <v>0602175409</v>
      </c>
      <c r="R75" s="1" t="str">
        <f t="shared" si="29"/>
        <v>人民币</v>
      </c>
    </row>
    <row r="76" spans="1:18">
      <c r="A76" s="1" t="str">
        <f t="shared" ref="A76:A79" si="34">"20191220"</f>
        <v>20191220</v>
      </c>
      <c r="D76" s="1" t="str">
        <f>"利息归本"</f>
        <v>利息归本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22.3</v>
      </c>
      <c r="O76" s="1">
        <v>300.83</v>
      </c>
      <c r="P76" s="1">
        <v>0</v>
      </c>
      <c r="R76" s="1" t="str">
        <f t="shared" si="29"/>
        <v>人民币</v>
      </c>
    </row>
    <row r="77" spans="1:18">
      <c r="A77" s="1" t="str">
        <f t="shared" si="34"/>
        <v>20191220</v>
      </c>
      <c r="D77" s="1" t="str">
        <f t="shared" si="33"/>
        <v>偿还融资利息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-26.9</v>
      </c>
      <c r="O77" s="1">
        <v>273.93</v>
      </c>
      <c r="P77" s="1">
        <v>0</v>
      </c>
      <c r="R77" s="1" t="str">
        <f t="shared" si="29"/>
        <v>人民币</v>
      </c>
    </row>
    <row r="78" spans="1:18">
      <c r="A78" s="1" t="str">
        <f t="shared" si="34"/>
        <v>20191220</v>
      </c>
      <c r="D78" s="1" t="str">
        <f t="shared" si="33"/>
        <v>偿还融资利息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-31.31</v>
      </c>
      <c r="O78" s="1">
        <v>242.62</v>
      </c>
      <c r="P78" s="1">
        <v>0</v>
      </c>
      <c r="R78" s="1" t="str">
        <f t="shared" si="29"/>
        <v>人民币</v>
      </c>
    </row>
    <row r="79" spans="1:18">
      <c r="A79" s="1" t="str">
        <f t="shared" si="34"/>
        <v>20191220</v>
      </c>
      <c r="D79" s="1" t="str">
        <f t="shared" si="33"/>
        <v>偿还融资利息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-29.68</v>
      </c>
      <c r="O79" s="1">
        <v>212.94</v>
      </c>
      <c r="P79" s="1">
        <v>0</v>
      </c>
      <c r="R79" s="1" t="str">
        <f t="shared" si="29"/>
        <v>人民币</v>
      </c>
    </row>
    <row r="80" spans="1:19">
      <c r="A80" s="1" t="str">
        <f>"20191226"</f>
        <v>20191226</v>
      </c>
      <c r="B80" s="1" t="str">
        <f>"000543"</f>
        <v>000543</v>
      </c>
      <c r="C80" s="1" t="str">
        <f>"皖能电力"</f>
        <v>皖能电力</v>
      </c>
      <c r="D80" s="1" t="str">
        <f>"融资买入"</f>
        <v>融资买入</v>
      </c>
      <c r="E80" s="1">
        <v>4.56</v>
      </c>
      <c r="F80" s="1">
        <v>3000</v>
      </c>
      <c r="G80" s="1">
        <v>13680</v>
      </c>
      <c r="H80" s="1">
        <v>6.84</v>
      </c>
      <c r="I80" s="1">
        <v>5.62</v>
      </c>
      <c r="J80" s="1">
        <v>0</v>
      </c>
      <c r="K80" s="1">
        <v>0</v>
      </c>
      <c r="L80" s="1">
        <v>0</v>
      </c>
      <c r="M80" s="1">
        <v>0</v>
      </c>
      <c r="N80" s="1">
        <v>-13686.84</v>
      </c>
      <c r="O80" s="1">
        <v>-13473.9</v>
      </c>
      <c r="P80" s="1">
        <v>13000</v>
      </c>
      <c r="Q80" s="1" t="str">
        <f>"0602175409"</f>
        <v>0602175409</v>
      </c>
      <c r="R80" s="1" t="str">
        <f t="shared" si="29"/>
        <v>人民币</v>
      </c>
      <c r="S80" s="1" t="str">
        <f>"T4000727"</f>
        <v>T4000727</v>
      </c>
    </row>
    <row r="81" spans="1:19">
      <c r="A81" s="1" t="str">
        <f>"20191226"</f>
        <v>20191226</v>
      </c>
      <c r="D81" s="1" t="str">
        <f>"融资借入"</f>
        <v>融资借入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13686.84</v>
      </c>
      <c r="O81" s="1">
        <v>212.94</v>
      </c>
      <c r="P81" s="1">
        <v>0</v>
      </c>
      <c r="R81" s="1" t="str">
        <f t="shared" si="29"/>
        <v>人民币</v>
      </c>
      <c r="S81" s="1" t="str">
        <f>"T4000727"</f>
        <v>T4000727</v>
      </c>
    </row>
    <row r="82" spans="1:18">
      <c r="A82" s="1" t="str">
        <f>"20191230"</f>
        <v>20191230</v>
      </c>
      <c r="D82" s="1" t="str">
        <f>"偿还融资利息"</f>
        <v>偿还融资利息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-48.42</v>
      </c>
      <c r="O82" s="1">
        <v>164.52</v>
      </c>
      <c r="P82" s="1">
        <v>0</v>
      </c>
      <c r="R82" s="1" t="str">
        <f t="shared" si="29"/>
        <v>人民币</v>
      </c>
    </row>
    <row r="83" spans="1:18">
      <c r="A83" s="1" t="str">
        <f>"20191230"</f>
        <v>20191230</v>
      </c>
      <c r="D83" s="1" t="str">
        <f>"偿还融资负债本金"</f>
        <v>偿还融资负债本金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-151.58</v>
      </c>
      <c r="O83" s="1">
        <v>12.94</v>
      </c>
      <c r="P83" s="1">
        <v>0</v>
      </c>
      <c r="R83" s="1" t="str">
        <f t="shared" si="29"/>
        <v>人民币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1"/>
  <sheetViews>
    <sheetView topLeftCell="A67" workbookViewId="0">
      <selection activeCell="A2" sqref="A2:P91"/>
    </sheetView>
  </sheetViews>
  <sheetFormatPr defaultColWidth="9" defaultRowHeight="13.5"/>
  <cols>
    <col min="1" max="16384" width="9" style="1"/>
  </cols>
  <sheetData>
    <row r="1" spans="1:19">
      <c r="A1" s="1" t="str">
        <f>"交割日期"</f>
        <v>交割日期</v>
      </c>
      <c r="B1" s="1" t="str">
        <f>"证券代码"</f>
        <v>证券代码</v>
      </c>
      <c r="C1" s="1" t="str">
        <f>"证券名称"</f>
        <v>证券名称</v>
      </c>
      <c r="D1" s="1" t="str">
        <f>"业务名称"</f>
        <v>业务名称</v>
      </c>
      <c r="E1" s="1" t="str">
        <f>"成交价格"</f>
        <v>成交价格</v>
      </c>
      <c r="F1" s="1" t="str">
        <f>"成交数量"</f>
        <v>成交数量</v>
      </c>
      <c r="G1" s="1" t="str">
        <f>"成交金额"</f>
        <v>成交金额</v>
      </c>
      <c r="H1" s="1" t="str">
        <f>"手续费"</f>
        <v>手续费</v>
      </c>
      <c r="I1" s="1" t="str">
        <f>"净佣金"</f>
        <v>净佣金</v>
      </c>
      <c r="J1" s="1" t="str">
        <f>"印花税"</f>
        <v>印花税</v>
      </c>
      <c r="K1" s="1" t="str">
        <f>"过户费"</f>
        <v>过户费</v>
      </c>
      <c r="L1" s="1" t="str">
        <f>"结算费"</f>
        <v>结算费</v>
      </c>
      <c r="M1" s="1" t="str">
        <f>"其他费"</f>
        <v>其他费</v>
      </c>
      <c r="N1" s="1" t="str">
        <f>"发生金额"</f>
        <v>发生金额</v>
      </c>
      <c r="O1" s="1" t="str">
        <f>"剩余金额"</f>
        <v>剩余金额</v>
      </c>
      <c r="P1" s="1" t="str">
        <f>"证券数量"</f>
        <v>证券数量</v>
      </c>
      <c r="Q1" s="1" t="str">
        <f>"股东代码"</f>
        <v>股东代码</v>
      </c>
      <c r="R1" s="1" t="str">
        <f>"币种"</f>
        <v>币种</v>
      </c>
      <c r="S1" s="1" t="str">
        <f>"成交编号"</f>
        <v>成交编号</v>
      </c>
    </row>
    <row r="2" spans="1:19">
      <c r="A2" s="1" t="str">
        <f>"20200103"</f>
        <v>20200103</v>
      </c>
      <c r="B2" s="1" t="str">
        <f>"000768"</f>
        <v>000768</v>
      </c>
      <c r="C2" s="1" t="str">
        <f>"中航飞机"</f>
        <v>中航飞机</v>
      </c>
      <c r="D2" s="1" t="str">
        <f>"卖券还款"</f>
        <v>卖券还款</v>
      </c>
      <c r="E2" s="1">
        <v>17.04</v>
      </c>
      <c r="F2" s="1">
        <v>1000</v>
      </c>
      <c r="G2" s="1">
        <v>17040</v>
      </c>
      <c r="H2" s="1">
        <v>8.52</v>
      </c>
      <c r="I2" s="1">
        <v>7.01</v>
      </c>
      <c r="J2" s="1">
        <v>17.04</v>
      </c>
      <c r="K2" s="1">
        <v>0</v>
      </c>
      <c r="L2" s="1">
        <v>0</v>
      </c>
      <c r="M2" s="1">
        <v>0</v>
      </c>
      <c r="N2" s="1">
        <v>17014.44</v>
      </c>
      <c r="O2" s="1">
        <v>17027.38</v>
      </c>
      <c r="P2" s="1">
        <v>1000</v>
      </c>
      <c r="Q2" s="1" t="str">
        <f>"0602175409"</f>
        <v>0602175409</v>
      </c>
      <c r="R2" s="1" t="str">
        <f t="shared" ref="R2:R65" si="0">"人民币"</f>
        <v>人民币</v>
      </c>
      <c r="S2" s="1" t="str">
        <f>"T4001003"</f>
        <v>T4001003</v>
      </c>
    </row>
    <row r="3" spans="1:19">
      <c r="A3" s="1" t="str">
        <f>"20200103"</f>
        <v>20200103</v>
      </c>
      <c r="D3" s="1" t="str">
        <f>"偿还融资利息"</f>
        <v>偿还融资利息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-21.4</v>
      </c>
      <c r="O3" s="1">
        <v>17005.98</v>
      </c>
      <c r="P3" s="1">
        <v>0</v>
      </c>
      <c r="R3" s="1" t="str">
        <f t="shared" si="0"/>
        <v>人民币</v>
      </c>
      <c r="S3" s="1" t="str">
        <f>"T4001003"</f>
        <v>T4001003</v>
      </c>
    </row>
    <row r="4" spans="1:19">
      <c r="A4" s="1" t="str">
        <f>"20200103"</f>
        <v>20200103</v>
      </c>
      <c r="D4" s="1" t="str">
        <f>"偿还融资负债本金"</f>
        <v>偿还融资负债本金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-16950.44</v>
      </c>
      <c r="O4" s="1">
        <v>55.54</v>
      </c>
      <c r="P4" s="1">
        <v>0</v>
      </c>
      <c r="R4" s="1" t="str">
        <f t="shared" si="0"/>
        <v>人民币</v>
      </c>
      <c r="S4" s="1" t="str">
        <f>"T4001003"</f>
        <v>T4001003</v>
      </c>
    </row>
    <row r="5" spans="1:19">
      <c r="A5" s="1" t="str">
        <f t="shared" ref="A5:A8" si="1">"20200106"</f>
        <v>20200106</v>
      </c>
      <c r="B5" s="1" t="str">
        <f>"600028"</f>
        <v>600028</v>
      </c>
      <c r="C5" s="1" t="str">
        <f>"中国石化"</f>
        <v>中国石化</v>
      </c>
      <c r="D5" s="1" t="str">
        <f>"担保品卖出"</f>
        <v>担保品卖出</v>
      </c>
      <c r="E5" s="1">
        <v>5.38</v>
      </c>
      <c r="F5" s="1">
        <v>1300</v>
      </c>
      <c r="G5" s="1">
        <v>6994</v>
      </c>
      <c r="H5" s="1">
        <v>5</v>
      </c>
      <c r="I5" s="1">
        <v>4.52</v>
      </c>
      <c r="J5" s="1">
        <v>6.99</v>
      </c>
      <c r="K5" s="1">
        <v>0.14</v>
      </c>
      <c r="L5" s="1">
        <v>0</v>
      </c>
      <c r="M5" s="1">
        <v>0</v>
      </c>
      <c r="N5" s="1">
        <v>6981.87</v>
      </c>
      <c r="O5" s="1">
        <v>7037.41</v>
      </c>
      <c r="P5" s="1">
        <v>0</v>
      </c>
      <c r="Q5" s="1" t="str">
        <f>"E021635187"</f>
        <v>E021635187</v>
      </c>
      <c r="R5" s="1" t="str">
        <f t="shared" si="0"/>
        <v>人民币</v>
      </c>
      <c r="S5" s="1" t="str">
        <f>"0136000813"</f>
        <v>0136000813</v>
      </c>
    </row>
    <row r="6" spans="1:19">
      <c r="A6" s="1" t="str">
        <f t="shared" si="1"/>
        <v>20200106</v>
      </c>
      <c r="B6" s="1" t="str">
        <f>"000601"</f>
        <v>000601</v>
      </c>
      <c r="C6" s="1" t="str">
        <f>"韶能股份"</f>
        <v>韶能股份</v>
      </c>
      <c r="D6" s="1" t="str">
        <f>"担保品买入"</f>
        <v>担保品买入</v>
      </c>
      <c r="E6" s="1">
        <v>5.66</v>
      </c>
      <c r="F6" s="1">
        <v>1200</v>
      </c>
      <c r="G6" s="1">
        <v>6792</v>
      </c>
      <c r="H6" s="1">
        <v>5</v>
      </c>
      <c r="I6" s="1">
        <v>4.39</v>
      </c>
      <c r="J6" s="1">
        <v>0</v>
      </c>
      <c r="K6" s="1">
        <v>0</v>
      </c>
      <c r="L6" s="1">
        <v>0</v>
      </c>
      <c r="M6" s="1">
        <v>0</v>
      </c>
      <c r="N6" s="1">
        <v>-6797</v>
      </c>
      <c r="O6" s="1">
        <v>240.41</v>
      </c>
      <c r="P6" s="1">
        <v>31200</v>
      </c>
      <c r="Q6" s="1" t="str">
        <f>"0602175409"</f>
        <v>0602175409</v>
      </c>
      <c r="R6" s="1" t="str">
        <f t="shared" si="0"/>
        <v>人民币</v>
      </c>
      <c r="S6" s="1" t="str">
        <f>"T4000753"</f>
        <v>T4000753</v>
      </c>
    </row>
    <row r="7" spans="1:18">
      <c r="A7" s="1" t="str">
        <f t="shared" si="1"/>
        <v>20200106</v>
      </c>
      <c r="D7" s="1" t="str">
        <f t="shared" ref="D7:D12" si="2">"偿还融资利息"</f>
        <v>偿还融资利息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-4.25</v>
      </c>
      <c r="O7" s="1">
        <v>236.16</v>
      </c>
      <c r="P7" s="1">
        <v>0</v>
      </c>
      <c r="R7" s="1" t="str">
        <f t="shared" si="0"/>
        <v>人民币</v>
      </c>
    </row>
    <row r="8" spans="1:18">
      <c r="A8" s="1" t="str">
        <f t="shared" si="1"/>
        <v>20200106</v>
      </c>
      <c r="D8" s="1" t="str">
        <f t="shared" ref="D8:D13" si="3">"偿还融资负债本金"</f>
        <v>偿还融资负债本金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-195.75</v>
      </c>
      <c r="O8" s="1">
        <v>40.41</v>
      </c>
      <c r="P8" s="1">
        <v>0</v>
      </c>
      <c r="R8" s="1" t="str">
        <f t="shared" si="0"/>
        <v>人民币</v>
      </c>
    </row>
    <row r="9" spans="1:19">
      <c r="A9" s="1" t="str">
        <f t="shared" ref="A9:A13" si="4">"20200108"</f>
        <v>20200108</v>
      </c>
      <c r="B9" s="1" t="str">
        <f>"000768"</f>
        <v>000768</v>
      </c>
      <c r="C9" s="1" t="str">
        <f>"中航飞机"</f>
        <v>中航飞机</v>
      </c>
      <c r="D9" s="1" t="str">
        <f>"卖券还款"</f>
        <v>卖券还款</v>
      </c>
      <c r="E9" s="1">
        <v>17.38</v>
      </c>
      <c r="F9" s="1">
        <v>1000</v>
      </c>
      <c r="G9" s="1">
        <v>17380</v>
      </c>
      <c r="H9" s="1">
        <v>8.69</v>
      </c>
      <c r="I9" s="1">
        <v>7.16</v>
      </c>
      <c r="J9" s="1">
        <v>17.39</v>
      </c>
      <c r="K9" s="1">
        <v>0</v>
      </c>
      <c r="L9" s="1">
        <v>0</v>
      </c>
      <c r="M9" s="1">
        <v>0</v>
      </c>
      <c r="N9" s="1">
        <v>17353.92</v>
      </c>
      <c r="O9" s="1">
        <v>17394.33</v>
      </c>
      <c r="P9" s="1">
        <v>0</v>
      </c>
      <c r="Q9" s="1" t="str">
        <f>"0602175409"</f>
        <v>0602175409</v>
      </c>
      <c r="R9" s="1" t="str">
        <f t="shared" si="0"/>
        <v>人民币</v>
      </c>
      <c r="S9" s="1" t="str">
        <f t="shared" ref="S9:S13" si="5">"T4000478"</f>
        <v>T4000478</v>
      </c>
    </row>
    <row r="10" spans="1:19">
      <c r="A10" s="1" t="str">
        <f t="shared" si="4"/>
        <v>20200108</v>
      </c>
      <c r="D10" s="1" t="str">
        <f t="shared" si="2"/>
        <v>偿还融资利息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-2.74</v>
      </c>
      <c r="O10" s="1">
        <v>17391.59</v>
      </c>
      <c r="P10" s="1">
        <v>0</v>
      </c>
      <c r="R10" s="1" t="str">
        <f t="shared" si="0"/>
        <v>人民币</v>
      </c>
      <c r="S10" s="1" t="str">
        <f t="shared" si="5"/>
        <v>T4000478</v>
      </c>
    </row>
    <row r="11" spans="1:19">
      <c r="A11" s="1" t="str">
        <f t="shared" si="4"/>
        <v>20200108</v>
      </c>
      <c r="D11" s="1" t="str">
        <f t="shared" si="3"/>
        <v>偿还融资负债本金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-5904.87</v>
      </c>
      <c r="O11" s="1">
        <v>11486.72</v>
      </c>
      <c r="P11" s="1">
        <v>0</v>
      </c>
      <c r="R11" s="1" t="str">
        <f t="shared" si="0"/>
        <v>人民币</v>
      </c>
      <c r="S11" s="1" t="str">
        <f t="shared" si="5"/>
        <v>T4000478</v>
      </c>
    </row>
    <row r="12" spans="1:19">
      <c r="A12" s="1" t="str">
        <f t="shared" si="4"/>
        <v>20200108</v>
      </c>
      <c r="D12" s="1" t="str">
        <f t="shared" si="2"/>
        <v>偿还融资利息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-56.37</v>
      </c>
      <c r="O12" s="1">
        <v>11430.35</v>
      </c>
      <c r="P12" s="1">
        <v>0</v>
      </c>
      <c r="R12" s="1" t="str">
        <f t="shared" si="0"/>
        <v>人民币</v>
      </c>
      <c r="S12" s="1" t="str">
        <f t="shared" si="5"/>
        <v>T4000478</v>
      </c>
    </row>
    <row r="13" spans="1:19">
      <c r="A13" s="1" t="str">
        <f t="shared" si="4"/>
        <v>20200108</v>
      </c>
      <c r="D13" s="1" t="str">
        <f t="shared" si="3"/>
        <v>偿还融资负债本金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-11346.5</v>
      </c>
      <c r="O13" s="1">
        <v>83.85</v>
      </c>
      <c r="P13" s="1">
        <v>0</v>
      </c>
      <c r="R13" s="1" t="str">
        <f t="shared" si="0"/>
        <v>人民币</v>
      </c>
      <c r="S13" s="1" t="str">
        <f t="shared" si="5"/>
        <v>T4000478</v>
      </c>
    </row>
    <row r="14" spans="1:19">
      <c r="A14" s="1" t="str">
        <f t="shared" ref="A14:A17" si="6">"20200117"</f>
        <v>20200117</v>
      </c>
      <c r="B14" s="1" t="str">
        <f>"000601"</f>
        <v>000601</v>
      </c>
      <c r="C14" s="1" t="str">
        <f>"韶能股份"</f>
        <v>韶能股份</v>
      </c>
      <c r="D14" s="1" t="str">
        <f>"担保品卖出"</f>
        <v>担保品卖出</v>
      </c>
      <c r="E14" s="1">
        <v>6.37</v>
      </c>
      <c r="F14" s="1">
        <v>1200</v>
      </c>
      <c r="G14" s="1">
        <v>7644</v>
      </c>
      <c r="H14" s="1">
        <v>5</v>
      </c>
      <c r="I14" s="1">
        <v>4.33</v>
      </c>
      <c r="J14" s="1">
        <v>7.64</v>
      </c>
      <c r="K14" s="1">
        <v>0</v>
      </c>
      <c r="L14" s="1">
        <v>0</v>
      </c>
      <c r="M14" s="1">
        <v>0</v>
      </c>
      <c r="N14" s="1">
        <v>7631.36</v>
      </c>
      <c r="O14" s="1">
        <v>7715.21</v>
      </c>
      <c r="P14" s="1">
        <v>30000</v>
      </c>
      <c r="Q14" s="1" t="str">
        <f>"0602175409"</f>
        <v>0602175409</v>
      </c>
      <c r="R14" s="1" t="str">
        <f t="shared" si="0"/>
        <v>人民币</v>
      </c>
      <c r="S14" s="1" t="str">
        <f>"T4001010"</f>
        <v>T4001010</v>
      </c>
    </row>
    <row r="15" spans="1:19">
      <c r="A15" s="1" t="str">
        <f t="shared" si="6"/>
        <v>20200117</v>
      </c>
      <c r="B15" s="1" t="str">
        <f>"600028"</f>
        <v>600028</v>
      </c>
      <c r="C15" s="1" t="str">
        <f>"中国石化"</f>
        <v>中国石化</v>
      </c>
      <c r="D15" s="1" t="str">
        <f>"担保品买入"</f>
        <v>担保品买入</v>
      </c>
      <c r="E15" s="1">
        <v>5.07</v>
      </c>
      <c r="F15" s="1">
        <v>1500</v>
      </c>
      <c r="G15" s="1">
        <v>7605</v>
      </c>
      <c r="H15" s="1">
        <v>5</v>
      </c>
      <c r="I15" s="1">
        <v>4.48</v>
      </c>
      <c r="J15" s="1">
        <v>0</v>
      </c>
      <c r="K15" s="1">
        <v>0.15</v>
      </c>
      <c r="L15" s="1">
        <v>0</v>
      </c>
      <c r="M15" s="1">
        <v>0</v>
      </c>
      <c r="N15" s="1">
        <v>-7610.15</v>
      </c>
      <c r="O15" s="1">
        <v>105.06</v>
      </c>
      <c r="P15" s="1">
        <v>1500</v>
      </c>
      <c r="Q15" s="1" t="str">
        <f>"E021635187"</f>
        <v>E021635187</v>
      </c>
      <c r="R15" s="1" t="str">
        <f t="shared" si="0"/>
        <v>人民币</v>
      </c>
      <c r="S15" s="1" t="str">
        <f>"0136000672"</f>
        <v>0136000672</v>
      </c>
    </row>
    <row r="16" spans="1:18">
      <c r="A16" s="1" t="str">
        <f t="shared" si="6"/>
        <v>20200117</v>
      </c>
      <c r="D16" s="1" t="str">
        <f t="shared" ref="D16:D19" si="7">"偿还融资利息"</f>
        <v>偿还融资利息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-4.5</v>
      </c>
      <c r="O16" s="1">
        <v>100.56</v>
      </c>
      <c r="P16" s="1">
        <v>0</v>
      </c>
      <c r="R16" s="1" t="str">
        <f t="shared" si="0"/>
        <v>人民币</v>
      </c>
    </row>
    <row r="17" spans="1:18">
      <c r="A17" s="1" t="str">
        <f t="shared" si="6"/>
        <v>20200117</v>
      </c>
      <c r="D17" s="1" t="str">
        <f>"偿还融资负债本金"</f>
        <v>偿还融资负债本金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-55.5</v>
      </c>
      <c r="O17" s="1">
        <v>45.06</v>
      </c>
      <c r="P17" s="1">
        <v>0</v>
      </c>
      <c r="R17" s="1" t="str">
        <f t="shared" si="0"/>
        <v>人民币</v>
      </c>
    </row>
    <row r="18" spans="1:18">
      <c r="A18" s="1" t="str">
        <f>"20200120"</f>
        <v>20200120</v>
      </c>
      <c r="D18" s="1" t="str">
        <f t="shared" si="7"/>
        <v>偿还融资利息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-1.96</v>
      </c>
      <c r="O18" s="1">
        <v>43.1</v>
      </c>
      <c r="P18" s="1">
        <v>0</v>
      </c>
      <c r="R18" s="1" t="str">
        <f t="shared" si="0"/>
        <v>人民币</v>
      </c>
    </row>
    <row r="19" spans="1:18">
      <c r="A19" s="1" t="str">
        <f>"20200120"</f>
        <v>20200120</v>
      </c>
      <c r="D19" s="1" t="str">
        <f t="shared" si="7"/>
        <v>偿还融资利息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-43.1</v>
      </c>
      <c r="O19" s="1">
        <v>0</v>
      </c>
      <c r="P19" s="1">
        <v>0</v>
      </c>
      <c r="R19" s="1" t="str">
        <f t="shared" si="0"/>
        <v>人民币</v>
      </c>
    </row>
    <row r="20" spans="1:19">
      <c r="A20" s="1" t="str">
        <f>"20200123"</f>
        <v>20200123</v>
      </c>
      <c r="B20" s="1" t="str">
        <f>"000543"</f>
        <v>000543</v>
      </c>
      <c r="C20" s="1" t="str">
        <f>"皖能电力"</f>
        <v>皖能电力</v>
      </c>
      <c r="D20" s="1" t="str">
        <f t="shared" ref="D20:D23" si="8">"融资买入"</f>
        <v>融资买入</v>
      </c>
      <c r="E20" s="1">
        <v>4.36</v>
      </c>
      <c r="F20" s="1">
        <v>3000</v>
      </c>
      <c r="G20" s="1">
        <v>13080</v>
      </c>
      <c r="H20" s="1">
        <v>6.54</v>
      </c>
      <c r="I20" s="1">
        <v>5.38</v>
      </c>
      <c r="J20" s="1">
        <v>0</v>
      </c>
      <c r="K20" s="1">
        <v>0</v>
      </c>
      <c r="L20" s="1">
        <v>0</v>
      </c>
      <c r="M20" s="1">
        <v>0</v>
      </c>
      <c r="N20" s="1">
        <v>-13086.54</v>
      </c>
      <c r="O20" s="1">
        <v>-13086.54</v>
      </c>
      <c r="P20" s="1">
        <v>16000</v>
      </c>
      <c r="Q20" s="1" t="str">
        <f t="shared" ref="Q20:Q23" si="9">"0602175409"</f>
        <v>0602175409</v>
      </c>
      <c r="R20" s="1" t="str">
        <f t="shared" si="0"/>
        <v>人民币</v>
      </c>
      <c r="S20" s="1" t="str">
        <f>"T4000839"</f>
        <v>T4000839</v>
      </c>
    </row>
    <row r="21" spans="1:19">
      <c r="A21" s="1" t="str">
        <f>"20200123"</f>
        <v>20200123</v>
      </c>
      <c r="D21" s="1" t="str">
        <f t="shared" ref="D21:D25" si="10">"融资借入"</f>
        <v>融资借入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13086.54</v>
      </c>
      <c r="O21" s="1">
        <v>0</v>
      </c>
      <c r="P21" s="1">
        <v>0</v>
      </c>
      <c r="R21" s="1" t="str">
        <f t="shared" si="0"/>
        <v>人民币</v>
      </c>
      <c r="S21" s="1" t="str">
        <f>"T4000839"</f>
        <v>T4000839</v>
      </c>
    </row>
    <row r="22" spans="1:19">
      <c r="A22" s="1" t="str">
        <f t="shared" ref="A22:A25" si="11">"20200203"</f>
        <v>20200203</v>
      </c>
      <c r="B22" s="1" t="str">
        <f>"000543"</f>
        <v>000543</v>
      </c>
      <c r="C22" s="1" t="str">
        <f>"皖能电力"</f>
        <v>皖能电力</v>
      </c>
      <c r="D22" s="1" t="str">
        <f t="shared" si="8"/>
        <v>融资买入</v>
      </c>
      <c r="E22" s="1">
        <v>3.94</v>
      </c>
      <c r="F22" s="1">
        <v>3000</v>
      </c>
      <c r="G22" s="1">
        <v>11820</v>
      </c>
      <c r="H22" s="1">
        <v>5.91</v>
      </c>
      <c r="I22" s="1">
        <v>4.86</v>
      </c>
      <c r="J22" s="1">
        <v>0</v>
      </c>
      <c r="K22" s="1">
        <v>0</v>
      </c>
      <c r="L22" s="1">
        <v>0</v>
      </c>
      <c r="M22" s="1">
        <v>0</v>
      </c>
      <c r="N22" s="1">
        <v>-11825.91</v>
      </c>
      <c r="O22" s="1">
        <v>-11825.91</v>
      </c>
      <c r="P22" s="1">
        <v>19000</v>
      </c>
      <c r="Q22" s="1" t="str">
        <f t="shared" si="9"/>
        <v>0602175409</v>
      </c>
      <c r="R22" s="1" t="str">
        <f t="shared" si="0"/>
        <v>人民币</v>
      </c>
      <c r="S22" s="1" t="str">
        <f>"T4000116"</f>
        <v>T4000116</v>
      </c>
    </row>
    <row r="23" spans="1:19">
      <c r="A23" s="1" t="str">
        <f t="shared" si="11"/>
        <v>20200203</v>
      </c>
      <c r="B23" s="1" t="str">
        <f t="shared" ref="B23:B28" si="12">"000768"</f>
        <v>000768</v>
      </c>
      <c r="C23" s="1" t="str">
        <f t="shared" ref="C23:C28" si="13">"中航飞机"</f>
        <v>中航飞机</v>
      </c>
      <c r="D23" s="1" t="str">
        <f t="shared" si="8"/>
        <v>融资买入</v>
      </c>
      <c r="E23" s="1">
        <v>14.98</v>
      </c>
      <c r="F23" s="1">
        <v>1000</v>
      </c>
      <c r="G23" s="1">
        <v>14980</v>
      </c>
      <c r="H23" s="1">
        <v>7.49</v>
      </c>
      <c r="I23" s="1">
        <v>6.16</v>
      </c>
      <c r="J23" s="1">
        <v>0</v>
      </c>
      <c r="K23" s="1">
        <v>0</v>
      </c>
      <c r="L23" s="1">
        <v>0</v>
      </c>
      <c r="M23" s="1">
        <v>0</v>
      </c>
      <c r="N23" s="1">
        <v>-14987.49</v>
      </c>
      <c r="O23" s="1">
        <v>-26813.4</v>
      </c>
      <c r="P23" s="1">
        <v>1000</v>
      </c>
      <c r="Q23" s="1" t="str">
        <f t="shared" si="9"/>
        <v>0602175409</v>
      </c>
      <c r="R23" s="1" t="str">
        <f t="shared" si="0"/>
        <v>人民币</v>
      </c>
      <c r="S23" s="1" t="str">
        <f>"T4000229"</f>
        <v>T4000229</v>
      </c>
    </row>
    <row r="24" spans="1:19">
      <c r="A24" s="1" t="str">
        <f t="shared" si="11"/>
        <v>20200203</v>
      </c>
      <c r="D24" s="1" t="str">
        <f t="shared" si="10"/>
        <v>融资借入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11825.91</v>
      </c>
      <c r="O24" s="1">
        <v>-14987.49</v>
      </c>
      <c r="P24" s="1">
        <v>0</v>
      </c>
      <c r="R24" s="1" t="str">
        <f t="shared" si="0"/>
        <v>人民币</v>
      </c>
      <c r="S24" s="1" t="str">
        <f>"T4000116"</f>
        <v>T4000116</v>
      </c>
    </row>
    <row r="25" spans="1:19">
      <c r="A25" s="1" t="str">
        <f t="shared" si="11"/>
        <v>20200203</v>
      </c>
      <c r="D25" s="1" t="str">
        <f t="shared" si="10"/>
        <v>融资借入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14987.49</v>
      </c>
      <c r="O25" s="1">
        <v>0</v>
      </c>
      <c r="P25" s="1">
        <v>0</v>
      </c>
      <c r="R25" s="1" t="str">
        <f t="shared" si="0"/>
        <v>人民币</v>
      </c>
      <c r="S25" s="1" t="str">
        <f>"T4000229"</f>
        <v>T4000229</v>
      </c>
    </row>
    <row r="26" spans="1:19">
      <c r="A26" s="1" t="str">
        <f t="shared" ref="A26:A37" si="14">"20200205"</f>
        <v>20200205</v>
      </c>
      <c r="B26" s="1" t="str">
        <f t="shared" si="12"/>
        <v>000768</v>
      </c>
      <c r="C26" s="1" t="str">
        <f t="shared" si="13"/>
        <v>中航飞机</v>
      </c>
      <c r="D26" s="1" t="str">
        <f t="shared" ref="D26:D30" si="15">"融资买入"</f>
        <v>融资买入</v>
      </c>
      <c r="E26" s="1">
        <v>15.07</v>
      </c>
      <c r="F26" s="1">
        <v>1000</v>
      </c>
      <c r="G26" s="1">
        <v>15070</v>
      </c>
      <c r="H26" s="1">
        <v>7.54</v>
      </c>
      <c r="I26" s="1">
        <v>6.21</v>
      </c>
      <c r="J26" s="1">
        <v>0</v>
      </c>
      <c r="K26" s="1">
        <v>0</v>
      </c>
      <c r="L26" s="1">
        <v>0</v>
      </c>
      <c r="M26" s="1">
        <v>0</v>
      </c>
      <c r="N26" s="1">
        <v>-15077.54</v>
      </c>
      <c r="O26" s="1">
        <v>-15077.54</v>
      </c>
      <c r="P26" s="1">
        <v>2000</v>
      </c>
      <c r="Q26" s="1" t="str">
        <f t="shared" ref="Q26:Q30" si="16">"0602175409"</f>
        <v>0602175409</v>
      </c>
      <c r="R26" s="1" t="str">
        <f t="shared" si="0"/>
        <v>人民币</v>
      </c>
      <c r="S26" s="1" t="str">
        <f>"T4000177"</f>
        <v>T4000177</v>
      </c>
    </row>
    <row r="27" spans="1:19">
      <c r="A27" s="1" t="str">
        <f t="shared" si="14"/>
        <v>20200205</v>
      </c>
      <c r="B27" s="1" t="str">
        <f>"600028"</f>
        <v>600028</v>
      </c>
      <c r="C27" s="1" t="str">
        <f>"中国石化"</f>
        <v>中国石化</v>
      </c>
      <c r="D27" s="1" t="str">
        <f>"担保物转入"</f>
        <v>担保物转入</v>
      </c>
      <c r="E27" s="1">
        <v>5.022</v>
      </c>
      <c r="F27" s="1">
        <v>6200</v>
      </c>
      <c r="G27" s="1">
        <v>31136.4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-15077.54</v>
      </c>
      <c r="P27" s="1">
        <v>7700</v>
      </c>
      <c r="Q27" s="1" t="str">
        <f>"E021635187"</f>
        <v>E021635187</v>
      </c>
      <c r="R27" s="1" t="str">
        <f t="shared" si="0"/>
        <v>人民币</v>
      </c>
      <c r="S27" s="1" t="str">
        <f>"0136000532"</f>
        <v>0136000532</v>
      </c>
    </row>
    <row r="28" spans="1:19">
      <c r="A28" s="1" t="str">
        <f t="shared" si="14"/>
        <v>20200205</v>
      </c>
      <c r="B28" s="1" t="str">
        <f t="shared" si="12"/>
        <v>000768</v>
      </c>
      <c r="C28" s="1" t="str">
        <f t="shared" si="13"/>
        <v>中航飞机</v>
      </c>
      <c r="D28" s="1" t="str">
        <f>"卖券还款"</f>
        <v>卖券还款</v>
      </c>
      <c r="E28" s="1">
        <v>15.28</v>
      </c>
      <c r="F28" s="1">
        <v>1000</v>
      </c>
      <c r="G28" s="1">
        <v>15280</v>
      </c>
      <c r="H28" s="1">
        <v>7.64</v>
      </c>
      <c r="I28" s="1">
        <v>6.28</v>
      </c>
      <c r="J28" s="1">
        <v>15.28</v>
      </c>
      <c r="K28" s="1">
        <v>0</v>
      </c>
      <c r="L28" s="1">
        <v>0</v>
      </c>
      <c r="M28" s="1">
        <v>0</v>
      </c>
      <c r="N28" s="1">
        <v>15257.08</v>
      </c>
      <c r="O28" s="1">
        <v>179.54</v>
      </c>
      <c r="P28" s="1">
        <v>1000</v>
      </c>
      <c r="Q28" s="1" t="str">
        <f t="shared" si="16"/>
        <v>0602175409</v>
      </c>
      <c r="R28" s="1" t="str">
        <f t="shared" si="0"/>
        <v>人民币</v>
      </c>
      <c r="S28" s="1" t="str">
        <f>"T4000625"</f>
        <v>T4000625</v>
      </c>
    </row>
    <row r="29" spans="1:19">
      <c r="A29" s="1" t="str">
        <f t="shared" si="14"/>
        <v>20200205</v>
      </c>
      <c r="B29" s="1" t="str">
        <f>"000543"</f>
        <v>000543</v>
      </c>
      <c r="C29" s="1" t="str">
        <f>"皖能电力"</f>
        <v>皖能电力</v>
      </c>
      <c r="D29" s="1" t="str">
        <f t="shared" si="15"/>
        <v>融资买入</v>
      </c>
      <c r="E29" s="1">
        <v>4</v>
      </c>
      <c r="F29" s="1">
        <v>3000</v>
      </c>
      <c r="G29" s="1">
        <v>12000</v>
      </c>
      <c r="H29" s="1">
        <v>6</v>
      </c>
      <c r="I29" s="1">
        <v>4.94</v>
      </c>
      <c r="J29" s="1">
        <v>0</v>
      </c>
      <c r="K29" s="1">
        <v>0</v>
      </c>
      <c r="L29" s="1">
        <v>0</v>
      </c>
      <c r="M29" s="1">
        <v>0</v>
      </c>
      <c r="N29" s="1">
        <v>-12006</v>
      </c>
      <c r="O29" s="1">
        <v>-11826.46</v>
      </c>
      <c r="P29" s="1">
        <v>22000</v>
      </c>
      <c r="Q29" s="1" t="str">
        <f t="shared" si="16"/>
        <v>0602175409</v>
      </c>
      <c r="R29" s="1" t="str">
        <f t="shared" si="0"/>
        <v>人民币</v>
      </c>
      <c r="S29" s="1" t="str">
        <f>"T4000736"</f>
        <v>T4000736</v>
      </c>
    </row>
    <row r="30" spans="1:19">
      <c r="A30" s="1" t="str">
        <f t="shared" si="14"/>
        <v>20200205</v>
      </c>
      <c r="B30" s="1" t="str">
        <f>"000768"</f>
        <v>000768</v>
      </c>
      <c r="C30" s="1" t="str">
        <f>"中航飞机"</f>
        <v>中航飞机</v>
      </c>
      <c r="D30" s="1" t="str">
        <f t="shared" si="15"/>
        <v>融资买入</v>
      </c>
      <c r="E30" s="1">
        <v>15.12</v>
      </c>
      <c r="F30" s="1">
        <v>1000</v>
      </c>
      <c r="G30" s="1">
        <v>15120</v>
      </c>
      <c r="H30" s="1">
        <v>7.56</v>
      </c>
      <c r="I30" s="1">
        <v>6.22</v>
      </c>
      <c r="J30" s="1">
        <v>0</v>
      </c>
      <c r="K30" s="1">
        <v>0</v>
      </c>
      <c r="L30" s="1">
        <v>0</v>
      </c>
      <c r="M30" s="1">
        <v>0</v>
      </c>
      <c r="N30" s="1">
        <v>-15127.56</v>
      </c>
      <c r="O30" s="1">
        <v>-26954.02</v>
      </c>
      <c r="P30" s="1">
        <v>2000</v>
      </c>
      <c r="Q30" s="1" t="str">
        <f t="shared" si="16"/>
        <v>0602175409</v>
      </c>
      <c r="R30" s="1" t="str">
        <f t="shared" si="0"/>
        <v>人民币</v>
      </c>
      <c r="S30" s="1" t="str">
        <f>"T4000870"</f>
        <v>T4000870</v>
      </c>
    </row>
    <row r="31" spans="1:19">
      <c r="A31" s="1" t="str">
        <f t="shared" si="14"/>
        <v>20200205</v>
      </c>
      <c r="D31" s="1" t="str">
        <f t="shared" ref="D31:D33" si="17">"融资借入"</f>
        <v>融资借入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15077.54</v>
      </c>
      <c r="O31" s="1">
        <v>-11876.48</v>
      </c>
      <c r="P31" s="1">
        <v>0</v>
      </c>
      <c r="R31" s="1" t="str">
        <f t="shared" si="0"/>
        <v>人民币</v>
      </c>
      <c r="S31" s="1" t="str">
        <f>"T4000177"</f>
        <v>T4000177</v>
      </c>
    </row>
    <row r="32" spans="1:19">
      <c r="A32" s="1" t="str">
        <f t="shared" si="14"/>
        <v>20200205</v>
      </c>
      <c r="D32" s="1" t="str">
        <f t="shared" si="17"/>
        <v>融资借入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12006</v>
      </c>
      <c r="O32" s="1">
        <v>129.52</v>
      </c>
      <c r="P32" s="1">
        <v>0</v>
      </c>
      <c r="R32" s="1" t="str">
        <f t="shared" si="0"/>
        <v>人民币</v>
      </c>
      <c r="S32" s="1" t="str">
        <f>"T4000736"</f>
        <v>T4000736</v>
      </c>
    </row>
    <row r="33" spans="1:19">
      <c r="A33" s="1" t="str">
        <f t="shared" si="14"/>
        <v>20200205</v>
      </c>
      <c r="D33" s="1" t="str">
        <f t="shared" si="17"/>
        <v>融资借入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15127.56</v>
      </c>
      <c r="O33" s="1">
        <v>15257.08</v>
      </c>
      <c r="P33" s="1">
        <v>0</v>
      </c>
      <c r="R33" s="1" t="str">
        <f t="shared" si="0"/>
        <v>人民币</v>
      </c>
      <c r="S33" s="1" t="str">
        <f>"T4000870"</f>
        <v>T4000870</v>
      </c>
    </row>
    <row r="34" spans="1:19">
      <c r="A34" s="1" t="str">
        <f t="shared" si="14"/>
        <v>20200205</v>
      </c>
      <c r="D34" s="1" t="str">
        <f t="shared" ref="D34:D39" si="18">"偿还融资利息"</f>
        <v>偿还融资利息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-7.33</v>
      </c>
      <c r="O34" s="1">
        <v>15249.75</v>
      </c>
      <c r="P34" s="1">
        <v>0</v>
      </c>
      <c r="R34" s="1" t="str">
        <f t="shared" si="0"/>
        <v>人民币</v>
      </c>
      <c r="S34" s="1" t="str">
        <f t="shared" ref="S34:S37" si="19">"T4000625"</f>
        <v>T4000625</v>
      </c>
    </row>
    <row r="35" spans="1:19">
      <c r="A35" s="1" t="str">
        <f t="shared" si="14"/>
        <v>20200205</v>
      </c>
      <c r="D35" s="1" t="str">
        <f t="shared" ref="D35:D40" si="20">"偿还融资负债本金"</f>
        <v>偿还融资负债本金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-2104.75</v>
      </c>
      <c r="O35" s="1">
        <v>13145</v>
      </c>
      <c r="P35" s="1">
        <v>0</v>
      </c>
      <c r="R35" s="1" t="str">
        <f t="shared" si="0"/>
        <v>人民币</v>
      </c>
      <c r="S35" s="1" t="str">
        <f t="shared" si="19"/>
        <v>T4000625</v>
      </c>
    </row>
    <row r="36" spans="1:19">
      <c r="A36" s="1" t="str">
        <f t="shared" si="14"/>
        <v>20200205</v>
      </c>
      <c r="D36" s="1" t="str">
        <f t="shared" si="18"/>
        <v>偿还融资利息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-127.56</v>
      </c>
      <c r="O36" s="1">
        <v>13017.44</v>
      </c>
      <c r="P36" s="1">
        <v>0</v>
      </c>
      <c r="R36" s="1" t="str">
        <f t="shared" si="0"/>
        <v>人民币</v>
      </c>
      <c r="S36" s="1" t="str">
        <f t="shared" si="19"/>
        <v>T4000625</v>
      </c>
    </row>
    <row r="37" spans="1:19">
      <c r="A37" s="1" t="str">
        <f t="shared" si="14"/>
        <v>20200205</v>
      </c>
      <c r="D37" s="1" t="str">
        <f t="shared" si="20"/>
        <v>偿还融资负债本金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-12979.14</v>
      </c>
      <c r="O37" s="1">
        <v>38.3</v>
      </c>
      <c r="P37" s="1">
        <v>0</v>
      </c>
      <c r="R37" s="1" t="str">
        <f t="shared" si="0"/>
        <v>人民币</v>
      </c>
      <c r="S37" s="1" t="str">
        <f t="shared" si="19"/>
        <v>T4000625</v>
      </c>
    </row>
    <row r="38" spans="1:19">
      <c r="A38" s="1" t="str">
        <f t="shared" ref="A38:A42" si="21">"20200206"</f>
        <v>20200206</v>
      </c>
      <c r="B38" s="1" t="str">
        <f>"000768"</f>
        <v>000768</v>
      </c>
      <c r="C38" s="1" t="str">
        <f>"中航飞机"</f>
        <v>中航飞机</v>
      </c>
      <c r="D38" s="1" t="str">
        <f>"卖券还款"</f>
        <v>卖券还款</v>
      </c>
      <c r="E38" s="1">
        <v>15.46</v>
      </c>
      <c r="F38" s="1">
        <v>1000</v>
      </c>
      <c r="G38" s="1">
        <v>15460</v>
      </c>
      <c r="H38" s="1">
        <v>7.73</v>
      </c>
      <c r="I38" s="1">
        <v>6.35</v>
      </c>
      <c r="J38" s="1">
        <v>15.46</v>
      </c>
      <c r="K38" s="1">
        <v>0</v>
      </c>
      <c r="L38" s="1">
        <v>0</v>
      </c>
      <c r="M38" s="1">
        <v>0</v>
      </c>
      <c r="N38" s="1">
        <v>15436.81</v>
      </c>
      <c r="O38" s="1">
        <v>15475.11</v>
      </c>
      <c r="P38" s="1">
        <v>1000</v>
      </c>
      <c r="Q38" s="1" t="str">
        <f>"0602175409"</f>
        <v>0602175409</v>
      </c>
      <c r="R38" s="1" t="str">
        <f t="shared" si="0"/>
        <v>人民币</v>
      </c>
      <c r="S38" s="1" t="str">
        <f t="shared" ref="S38:S42" si="22">"T4001500"</f>
        <v>T4001500</v>
      </c>
    </row>
    <row r="39" spans="1:19">
      <c r="A39" s="1" t="str">
        <f t="shared" si="21"/>
        <v>20200206</v>
      </c>
      <c r="D39" s="1" t="str">
        <f t="shared" si="18"/>
        <v>偿还融资利息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-0.7</v>
      </c>
      <c r="O39" s="1">
        <v>15474.41</v>
      </c>
      <c r="P39" s="1">
        <v>0</v>
      </c>
      <c r="R39" s="1" t="str">
        <f t="shared" si="0"/>
        <v>人民币</v>
      </c>
      <c r="S39" s="1" t="str">
        <f t="shared" si="22"/>
        <v>T4001500</v>
      </c>
    </row>
    <row r="40" spans="1:19">
      <c r="A40" s="1" t="str">
        <f t="shared" si="21"/>
        <v>20200206</v>
      </c>
      <c r="D40" s="1" t="str">
        <f t="shared" si="20"/>
        <v>偿还融资负债本金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-3018.86</v>
      </c>
      <c r="O40" s="1">
        <v>12455.55</v>
      </c>
      <c r="P40" s="1">
        <v>0</v>
      </c>
      <c r="R40" s="1" t="str">
        <f t="shared" si="0"/>
        <v>人民币</v>
      </c>
      <c r="S40" s="1" t="str">
        <f t="shared" si="22"/>
        <v>T4001500</v>
      </c>
    </row>
    <row r="41" spans="1:19">
      <c r="A41" s="1" t="str">
        <f t="shared" si="21"/>
        <v>20200206</v>
      </c>
      <c r="D41" s="1" t="str">
        <f>"偿还融资利息"</f>
        <v>偿还融资利息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-133.22</v>
      </c>
      <c r="O41" s="1">
        <v>12322.33</v>
      </c>
      <c r="P41" s="1">
        <v>0</v>
      </c>
      <c r="R41" s="1" t="str">
        <f t="shared" si="0"/>
        <v>人民币</v>
      </c>
      <c r="S41" s="1" t="str">
        <f t="shared" si="22"/>
        <v>T4001500</v>
      </c>
    </row>
    <row r="42" spans="1:19">
      <c r="A42" s="1" t="str">
        <f t="shared" si="21"/>
        <v>20200206</v>
      </c>
      <c r="D42" s="1" t="str">
        <f>"偿还融资负债本金"</f>
        <v>偿还融资负债本金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-12245.38</v>
      </c>
      <c r="O42" s="1">
        <v>76.95</v>
      </c>
      <c r="P42" s="1">
        <v>0</v>
      </c>
      <c r="R42" s="1" t="str">
        <f t="shared" si="0"/>
        <v>人民币</v>
      </c>
      <c r="S42" s="1" t="str">
        <f t="shared" si="22"/>
        <v>T4001500</v>
      </c>
    </row>
    <row r="43" spans="1:19">
      <c r="A43" s="1" t="str">
        <f>"20200207"</f>
        <v>20200207</v>
      </c>
      <c r="B43" s="1" t="str">
        <f>"000768"</f>
        <v>000768</v>
      </c>
      <c r="C43" s="1" t="str">
        <f>"中航飞机"</f>
        <v>中航飞机</v>
      </c>
      <c r="D43" s="1" t="str">
        <f>"融资买入"</f>
        <v>融资买入</v>
      </c>
      <c r="E43" s="1">
        <v>15.7</v>
      </c>
      <c r="F43" s="1">
        <v>500</v>
      </c>
      <c r="G43" s="1">
        <v>7850</v>
      </c>
      <c r="H43" s="1">
        <v>5</v>
      </c>
      <c r="I43" s="1">
        <v>4.3</v>
      </c>
      <c r="J43" s="1">
        <v>0</v>
      </c>
      <c r="K43" s="1">
        <v>0</v>
      </c>
      <c r="L43" s="1">
        <v>0</v>
      </c>
      <c r="M43" s="1">
        <v>0</v>
      </c>
      <c r="N43" s="1">
        <v>-7855</v>
      </c>
      <c r="O43" s="1">
        <v>-7778.05</v>
      </c>
      <c r="P43" s="1">
        <v>1500</v>
      </c>
      <c r="Q43" s="1" t="str">
        <f t="shared" ref="Q43:Q46" si="23">"0602175409"</f>
        <v>0602175409</v>
      </c>
      <c r="R43" s="1" t="str">
        <f t="shared" si="0"/>
        <v>人民币</v>
      </c>
      <c r="S43" s="1" t="str">
        <f>"T4001375"</f>
        <v>T4001375</v>
      </c>
    </row>
    <row r="44" spans="1:19">
      <c r="A44" s="1" t="str">
        <f>"20200207"</f>
        <v>20200207</v>
      </c>
      <c r="D44" s="1" t="str">
        <f>"融资借入"</f>
        <v>融资借入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7855</v>
      </c>
      <c r="O44" s="1">
        <v>76.95</v>
      </c>
      <c r="P44" s="1">
        <v>0</v>
      </c>
      <c r="R44" s="1" t="str">
        <f t="shared" si="0"/>
        <v>人民币</v>
      </c>
      <c r="S44" s="1" t="str">
        <f>"T4001375"</f>
        <v>T4001375</v>
      </c>
    </row>
    <row r="45" spans="1:19">
      <c r="A45" s="1" t="str">
        <f t="shared" ref="A45:A53" si="24">"20200210"</f>
        <v>20200210</v>
      </c>
      <c r="B45" s="1" t="str">
        <f>"000768"</f>
        <v>000768</v>
      </c>
      <c r="C45" s="1" t="str">
        <f>"中航飞机"</f>
        <v>中航飞机</v>
      </c>
      <c r="D45" s="1" t="str">
        <f>"卖券还款"</f>
        <v>卖券还款</v>
      </c>
      <c r="E45" s="1">
        <v>15.66</v>
      </c>
      <c r="F45" s="1">
        <v>1500</v>
      </c>
      <c r="G45" s="1">
        <v>23490</v>
      </c>
      <c r="H45" s="1">
        <v>11.75</v>
      </c>
      <c r="I45" s="1">
        <v>9.66</v>
      </c>
      <c r="J45" s="1">
        <v>23.49</v>
      </c>
      <c r="K45" s="1">
        <v>0</v>
      </c>
      <c r="L45" s="1">
        <v>0</v>
      </c>
      <c r="M45" s="1">
        <v>0</v>
      </c>
      <c r="N45" s="1">
        <v>23454.76</v>
      </c>
      <c r="O45" s="1">
        <v>23531.71</v>
      </c>
      <c r="P45" s="1">
        <v>0</v>
      </c>
      <c r="Q45" s="1" t="str">
        <f t="shared" si="23"/>
        <v>0602175409</v>
      </c>
      <c r="R45" s="1" t="str">
        <f t="shared" si="0"/>
        <v>人民币</v>
      </c>
      <c r="S45" s="1" t="str">
        <f t="shared" ref="S45:S53" si="25">"T4000975"</f>
        <v>T4000975</v>
      </c>
    </row>
    <row r="46" spans="1:19">
      <c r="A46" s="1" t="str">
        <f t="shared" si="24"/>
        <v>20200210</v>
      </c>
      <c r="B46" s="1" t="str">
        <f>"002183"</f>
        <v>002183</v>
      </c>
      <c r="C46" s="1" t="str">
        <f>"怡 亚 通"</f>
        <v>怡 亚 通</v>
      </c>
      <c r="D46" s="1" t="str">
        <f>"担保物转入"</f>
        <v>担保物转入</v>
      </c>
      <c r="E46" s="1">
        <v>14.133</v>
      </c>
      <c r="F46" s="1">
        <v>5000</v>
      </c>
      <c r="G46" s="1">
        <v>70665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23531.71</v>
      </c>
      <c r="P46" s="1">
        <v>12500</v>
      </c>
      <c r="Q46" s="1" t="str">
        <f t="shared" si="23"/>
        <v>0602175409</v>
      </c>
      <c r="R46" s="1" t="str">
        <f t="shared" si="0"/>
        <v>人民币</v>
      </c>
      <c r="S46" s="1" t="str">
        <f>"T400122500"</f>
        <v>T400122500</v>
      </c>
    </row>
    <row r="47" spans="1:18">
      <c r="A47" s="1" t="str">
        <f t="shared" si="24"/>
        <v>20200210</v>
      </c>
      <c r="D47" s="1" t="str">
        <f t="shared" ref="D47:D51" si="26">"偿还融资负债本金"</f>
        <v>偿还融资负债本金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-70</v>
      </c>
      <c r="O47" s="1">
        <v>23461.71</v>
      </c>
      <c r="P47" s="1">
        <v>0</v>
      </c>
      <c r="R47" s="1" t="str">
        <f t="shared" si="0"/>
        <v>人民币</v>
      </c>
    </row>
    <row r="48" spans="1:19">
      <c r="A48" s="1" t="str">
        <f t="shared" si="24"/>
        <v>20200210</v>
      </c>
      <c r="D48" s="1" t="str">
        <f t="shared" ref="D48:D52" si="27">"偿还融资利息"</f>
        <v>偿还融资利息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-1.33</v>
      </c>
      <c r="O48" s="1">
        <v>23460.38</v>
      </c>
      <c r="P48" s="1">
        <v>0</v>
      </c>
      <c r="R48" s="1" t="str">
        <f t="shared" si="0"/>
        <v>人民币</v>
      </c>
      <c r="S48" s="1" t="str">
        <f t="shared" si="25"/>
        <v>T4000975</v>
      </c>
    </row>
    <row r="49" spans="1:19">
      <c r="A49" s="1" t="str">
        <f t="shared" si="24"/>
        <v>20200210</v>
      </c>
      <c r="D49" s="1" t="str">
        <f t="shared" si="26"/>
        <v>偿还融资负债本金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-1441.46</v>
      </c>
      <c r="O49" s="1">
        <v>22018.92</v>
      </c>
      <c r="P49" s="1">
        <v>0</v>
      </c>
      <c r="R49" s="1" t="str">
        <f t="shared" si="0"/>
        <v>人民币</v>
      </c>
      <c r="S49" s="1" t="str">
        <f t="shared" si="25"/>
        <v>T4000975</v>
      </c>
    </row>
    <row r="50" spans="1:19">
      <c r="A50" s="1" t="str">
        <f t="shared" si="24"/>
        <v>20200210</v>
      </c>
      <c r="D50" s="1" t="str">
        <f t="shared" si="27"/>
        <v>偿还融资利息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-54.67</v>
      </c>
      <c r="O50" s="1">
        <v>21964.25</v>
      </c>
      <c r="P50" s="1">
        <v>0</v>
      </c>
      <c r="R50" s="1" t="str">
        <f t="shared" si="0"/>
        <v>人民币</v>
      </c>
      <c r="S50" s="1" t="str">
        <f t="shared" si="25"/>
        <v>T4000975</v>
      </c>
    </row>
    <row r="51" spans="1:19">
      <c r="A51" s="1" t="str">
        <f t="shared" si="24"/>
        <v>20200210</v>
      </c>
      <c r="D51" s="1" t="str">
        <f t="shared" si="26"/>
        <v>偿还融资负债本金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-13086.54</v>
      </c>
      <c r="O51" s="1">
        <v>8877.71</v>
      </c>
      <c r="P51" s="1">
        <v>0</v>
      </c>
      <c r="R51" s="1" t="str">
        <f t="shared" si="0"/>
        <v>人民币</v>
      </c>
      <c r="S51" s="1" t="str">
        <f t="shared" si="25"/>
        <v>T4000975</v>
      </c>
    </row>
    <row r="52" spans="1:19">
      <c r="A52" s="1" t="str">
        <f t="shared" si="24"/>
        <v>20200210</v>
      </c>
      <c r="D52" s="1" t="str">
        <f t="shared" si="27"/>
        <v>偿还融资利息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-19.19</v>
      </c>
      <c r="O52" s="1">
        <v>8858.52</v>
      </c>
      <c r="P52" s="1">
        <v>0</v>
      </c>
      <c r="R52" s="1" t="str">
        <f t="shared" si="0"/>
        <v>人民币</v>
      </c>
      <c r="S52" s="1" t="str">
        <f t="shared" si="25"/>
        <v>T4000975</v>
      </c>
    </row>
    <row r="53" spans="1:19">
      <c r="A53" s="1" t="str">
        <f t="shared" si="24"/>
        <v>20200210</v>
      </c>
      <c r="D53" s="1" t="str">
        <f>"偿还融资负债本金"</f>
        <v>偿还融资负债本金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-8792.85</v>
      </c>
      <c r="O53" s="1">
        <v>65.67</v>
      </c>
      <c r="P53" s="1">
        <v>0</v>
      </c>
      <c r="R53" s="1" t="str">
        <f t="shared" si="0"/>
        <v>人民币</v>
      </c>
      <c r="S53" s="1" t="str">
        <f t="shared" si="25"/>
        <v>T4000975</v>
      </c>
    </row>
    <row r="54" spans="1:19">
      <c r="A54" s="1" t="str">
        <f t="shared" ref="A54:A61" si="28">"20200212"</f>
        <v>20200212</v>
      </c>
      <c r="B54" s="1" t="str">
        <f>"002183"</f>
        <v>002183</v>
      </c>
      <c r="C54" s="1" t="str">
        <f>"怡 亚 通"</f>
        <v>怡 亚 通</v>
      </c>
      <c r="D54" s="1" t="str">
        <f>"融资买入"</f>
        <v>融资买入</v>
      </c>
      <c r="E54" s="1">
        <v>3.82</v>
      </c>
      <c r="F54" s="1">
        <v>5000</v>
      </c>
      <c r="G54" s="1">
        <v>19100</v>
      </c>
      <c r="H54" s="1">
        <v>9.55</v>
      </c>
      <c r="I54" s="1">
        <v>7.86</v>
      </c>
      <c r="J54" s="1">
        <v>0</v>
      </c>
      <c r="K54" s="1">
        <v>0</v>
      </c>
      <c r="L54" s="1">
        <v>0</v>
      </c>
      <c r="M54" s="1">
        <v>0</v>
      </c>
      <c r="N54" s="1">
        <v>-19109.55</v>
      </c>
      <c r="O54" s="1">
        <v>-19043.88</v>
      </c>
      <c r="P54" s="1">
        <v>17500</v>
      </c>
      <c r="Q54" s="1" t="str">
        <f>"0602175409"</f>
        <v>0602175409</v>
      </c>
      <c r="R54" s="1" t="str">
        <f t="shared" si="0"/>
        <v>人民币</v>
      </c>
      <c r="S54" s="1" t="str">
        <f>"T4000891"</f>
        <v>T4000891</v>
      </c>
    </row>
    <row r="55" spans="1:19">
      <c r="A55" s="1" t="str">
        <f t="shared" si="28"/>
        <v>20200212</v>
      </c>
      <c r="B55" s="1" t="str">
        <f>"000543"</f>
        <v>000543</v>
      </c>
      <c r="C55" s="1" t="str">
        <f>"皖能电力"</f>
        <v>皖能电力</v>
      </c>
      <c r="D55" s="1" t="str">
        <f>"卖券还款"</f>
        <v>卖券还款</v>
      </c>
      <c r="E55" s="1">
        <v>4.15</v>
      </c>
      <c r="F55" s="1">
        <v>3000</v>
      </c>
      <c r="G55" s="1">
        <v>12450</v>
      </c>
      <c r="H55" s="1">
        <v>6.23</v>
      </c>
      <c r="I55" s="1">
        <v>5.12</v>
      </c>
      <c r="J55" s="1">
        <v>12.45</v>
      </c>
      <c r="K55" s="1">
        <v>0</v>
      </c>
      <c r="L55" s="1">
        <v>0</v>
      </c>
      <c r="M55" s="1">
        <v>0</v>
      </c>
      <c r="N55" s="1">
        <v>12431.32</v>
      </c>
      <c r="O55" s="1">
        <v>-6612.56</v>
      </c>
      <c r="P55" s="1">
        <v>19000</v>
      </c>
      <c r="Q55" s="1" t="str">
        <f>"0602175409"</f>
        <v>0602175409</v>
      </c>
      <c r="R55" s="1" t="str">
        <f t="shared" si="0"/>
        <v>人民币</v>
      </c>
      <c r="S55" s="1" t="str">
        <f t="shared" ref="S55:S61" si="29">"T4001113"</f>
        <v>T4001113</v>
      </c>
    </row>
    <row r="56" spans="1:19">
      <c r="A56" s="1" t="str">
        <f t="shared" si="28"/>
        <v>20200212</v>
      </c>
      <c r="D56" s="1" t="str">
        <f>"融资借入"</f>
        <v>融资借入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19109.55</v>
      </c>
      <c r="O56" s="1">
        <v>12496.99</v>
      </c>
      <c r="P56" s="1">
        <v>0</v>
      </c>
      <c r="R56" s="1" t="str">
        <f t="shared" si="0"/>
        <v>人民币</v>
      </c>
      <c r="S56" s="1" t="str">
        <f>"T4000891"</f>
        <v>T4000891</v>
      </c>
    </row>
    <row r="57" spans="1:18">
      <c r="A57" s="1" t="str">
        <f t="shared" si="28"/>
        <v>20200212</v>
      </c>
      <c r="D57" s="1" t="str">
        <f>"偿还融资利息"</f>
        <v>偿还融资利息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-1.38</v>
      </c>
      <c r="O57" s="1">
        <v>12495.61</v>
      </c>
      <c r="P57" s="1">
        <v>0</v>
      </c>
      <c r="R57" s="1" t="str">
        <f t="shared" si="0"/>
        <v>人民币</v>
      </c>
    </row>
    <row r="58" spans="1:18">
      <c r="A58" s="1" t="str">
        <f t="shared" si="28"/>
        <v>20200212</v>
      </c>
      <c r="D58" s="1" t="str">
        <f t="shared" ref="D58:D61" si="30">"偿还融资负债本金"</f>
        <v>偿还融资负债本金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-63.62</v>
      </c>
      <c r="O58" s="1">
        <v>12431.99</v>
      </c>
      <c r="P58" s="1">
        <v>0</v>
      </c>
      <c r="R58" s="1" t="str">
        <f t="shared" si="0"/>
        <v>人民币</v>
      </c>
    </row>
    <row r="59" spans="1:19">
      <c r="A59" s="1" t="str">
        <f t="shared" si="28"/>
        <v>20200212</v>
      </c>
      <c r="D59" s="1" t="str">
        <f t="shared" si="30"/>
        <v>偿还融资负债本金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-2899.44</v>
      </c>
      <c r="O59" s="1">
        <v>9532.55</v>
      </c>
      <c r="P59" s="1">
        <v>0</v>
      </c>
      <c r="R59" s="1" t="str">
        <f t="shared" si="0"/>
        <v>人民币</v>
      </c>
      <c r="S59" s="1" t="str">
        <f t="shared" si="29"/>
        <v>T4001113</v>
      </c>
    </row>
    <row r="60" spans="1:19">
      <c r="A60" s="1" t="str">
        <f t="shared" si="28"/>
        <v>20200212</v>
      </c>
      <c r="D60" s="1" t="str">
        <f>"偿还融资利息"</f>
        <v>偿还融资利息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-31.31</v>
      </c>
      <c r="O60" s="1">
        <v>9501.24</v>
      </c>
      <c r="P60" s="1">
        <v>0</v>
      </c>
      <c r="R60" s="1" t="str">
        <f t="shared" si="0"/>
        <v>人民币</v>
      </c>
      <c r="S60" s="1" t="str">
        <f t="shared" si="29"/>
        <v>T4001113</v>
      </c>
    </row>
    <row r="61" spans="1:19">
      <c r="A61" s="1" t="str">
        <f t="shared" si="28"/>
        <v>20200212</v>
      </c>
      <c r="D61" s="1" t="str">
        <f t="shared" si="30"/>
        <v>偿还融资负债本金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-9469.45</v>
      </c>
      <c r="O61" s="1">
        <v>31.79</v>
      </c>
      <c r="P61" s="1">
        <v>0</v>
      </c>
      <c r="R61" s="1" t="str">
        <f t="shared" si="0"/>
        <v>人民币</v>
      </c>
      <c r="S61" s="1" t="str">
        <f t="shared" si="29"/>
        <v>T4001113</v>
      </c>
    </row>
    <row r="62" spans="1:18">
      <c r="A62" s="1" t="str">
        <f>"20200213"</f>
        <v>20200213</v>
      </c>
      <c r="B62" s="1" t="str">
        <f>"000543"</f>
        <v>000543</v>
      </c>
      <c r="C62" s="1" t="str">
        <f>"皖能电力"</f>
        <v>皖能电力</v>
      </c>
      <c r="D62" s="1" t="str">
        <f>"股息红利差异扣税"</f>
        <v>股息红利差异扣税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-6.6</v>
      </c>
      <c r="O62" s="1">
        <v>25.19</v>
      </c>
      <c r="P62" s="1">
        <v>0</v>
      </c>
      <c r="Q62" s="1" t="str">
        <f t="shared" ref="Q62:Q64" si="31">"0602175409"</f>
        <v>0602175409</v>
      </c>
      <c r="R62" s="1" t="str">
        <f t="shared" si="0"/>
        <v>人民币</v>
      </c>
    </row>
    <row r="63" spans="1:19">
      <c r="A63" s="1" t="str">
        <f t="shared" ref="A63:A69" si="32">"20200214"</f>
        <v>20200214</v>
      </c>
      <c r="B63" s="1" t="str">
        <f>"002183"</f>
        <v>002183</v>
      </c>
      <c r="C63" s="1" t="str">
        <f>"怡 亚 通"</f>
        <v>怡 亚 通</v>
      </c>
      <c r="D63" s="1" t="str">
        <f>"卖券还款"</f>
        <v>卖券还款</v>
      </c>
      <c r="E63" s="1">
        <v>3.75</v>
      </c>
      <c r="F63" s="1">
        <v>2100</v>
      </c>
      <c r="G63" s="1">
        <v>7875</v>
      </c>
      <c r="H63" s="1">
        <v>5</v>
      </c>
      <c r="I63" s="1">
        <v>4.3</v>
      </c>
      <c r="J63" s="1">
        <v>7.88</v>
      </c>
      <c r="K63" s="1">
        <v>0</v>
      </c>
      <c r="L63" s="1">
        <v>0</v>
      </c>
      <c r="M63" s="1">
        <v>0</v>
      </c>
      <c r="N63" s="1">
        <v>7862.12</v>
      </c>
      <c r="O63" s="1">
        <v>7887.31</v>
      </c>
      <c r="P63" s="1">
        <v>15400</v>
      </c>
      <c r="Q63" s="1" t="str">
        <f t="shared" si="31"/>
        <v>0602175409</v>
      </c>
      <c r="R63" s="1" t="str">
        <f t="shared" si="0"/>
        <v>人民币</v>
      </c>
      <c r="S63" s="1" t="str">
        <f t="shared" ref="S63:S68" si="33">"T4000484"</f>
        <v>T4000484</v>
      </c>
    </row>
    <row r="64" spans="1:19">
      <c r="A64" s="1" t="str">
        <f t="shared" si="32"/>
        <v>20200214</v>
      </c>
      <c r="B64" s="1" t="str">
        <f>"002183"</f>
        <v>002183</v>
      </c>
      <c r="C64" s="1" t="str">
        <f>"怡 亚 通"</f>
        <v>怡 亚 通</v>
      </c>
      <c r="D64" s="1" t="str">
        <f>"卖券还款"</f>
        <v>卖券还款</v>
      </c>
      <c r="E64" s="1">
        <v>3.79</v>
      </c>
      <c r="F64" s="1">
        <v>2900</v>
      </c>
      <c r="G64" s="1">
        <v>10991</v>
      </c>
      <c r="H64" s="1">
        <v>5.5</v>
      </c>
      <c r="I64" s="1">
        <v>4.52</v>
      </c>
      <c r="J64" s="1">
        <v>10.99</v>
      </c>
      <c r="K64" s="1">
        <v>0</v>
      </c>
      <c r="L64" s="1">
        <v>0</v>
      </c>
      <c r="M64" s="1">
        <v>0</v>
      </c>
      <c r="N64" s="1">
        <v>10974.51</v>
      </c>
      <c r="O64" s="1">
        <v>18861.82</v>
      </c>
      <c r="P64" s="1">
        <v>12500</v>
      </c>
      <c r="Q64" s="1" t="str">
        <f t="shared" si="31"/>
        <v>0602175409</v>
      </c>
      <c r="R64" s="1" t="str">
        <f t="shared" si="0"/>
        <v>人民币</v>
      </c>
      <c r="S64" s="1" t="str">
        <f>"T4000834"</f>
        <v>T4000834</v>
      </c>
    </row>
    <row r="65" spans="1:19">
      <c r="A65" s="1" t="str">
        <f t="shared" si="32"/>
        <v>20200214</v>
      </c>
      <c r="D65" s="1" t="str">
        <f t="shared" ref="D65:D70" si="34">"偿还融资利息"</f>
        <v>偿还融资利息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-2.56</v>
      </c>
      <c r="O65" s="1">
        <v>18859.26</v>
      </c>
      <c r="P65" s="1">
        <v>0</v>
      </c>
      <c r="R65" s="1" t="str">
        <f t="shared" si="0"/>
        <v>人民币</v>
      </c>
      <c r="S65" s="1" t="str">
        <f t="shared" si="33"/>
        <v>T4000484</v>
      </c>
    </row>
    <row r="66" spans="1:19">
      <c r="A66" s="1" t="str">
        <f t="shared" si="32"/>
        <v>20200214</v>
      </c>
      <c r="D66" s="1" t="str">
        <f t="shared" ref="D66:D69" si="35">"偿还融资负债本金"</f>
        <v>偿还融资负债本金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-5518.04</v>
      </c>
      <c r="O66" s="1">
        <v>13341.22</v>
      </c>
      <c r="P66" s="1">
        <v>0</v>
      </c>
      <c r="R66" s="1" t="str">
        <f t="shared" ref="R66:R91" si="36">"人民币"</f>
        <v>人民币</v>
      </c>
      <c r="S66" s="1" t="str">
        <f t="shared" si="33"/>
        <v>T4000484</v>
      </c>
    </row>
    <row r="67" spans="1:19">
      <c r="A67" s="1" t="str">
        <f t="shared" si="32"/>
        <v>20200214</v>
      </c>
      <c r="D67" s="1" t="str">
        <f t="shared" si="34"/>
        <v>偿还融资利息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-31.49</v>
      </c>
      <c r="O67" s="1">
        <v>13309.73</v>
      </c>
      <c r="P67" s="1">
        <v>0</v>
      </c>
      <c r="R67" s="1" t="str">
        <f t="shared" si="36"/>
        <v>人民币</v>
      </c>
      <c r="S67" s="1" t="str">
        <f t="shared" si="33"/>
        <v>T4000484</v>
      </c>
    </row>
    <row r="68" spans="1:19">
      <c r="A68" s="1" t="str">
        <f t="shared" si="32"/>
        <v>20200214</v>
      </c>
      <c r="D68" s="1" t="str">
        <f t="shared" si="35"/>
        <v>偿还融资负债本金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-2291.4</v>
      </c>
      <c r="O68" s="1">
        <v>11018.33</v>
      </c>
      <c r="P68" s="1">
        <v>0</v>
      </c>
      <c r="R68" s="1" t="str">
        <f t="shared" si="36"/>
        <v>人民币</v>
      </c>
      <c r="S68" s="1" t="str">
        <f t="shared" si="33"/>
        <v>T4000484</v>
      </c>
    </row>
    <row r="69" spans="1:19">
      <c r="A69" s="1" t="str">
        <f t="shared" si="32"/>
        <v>20200214</v>
      </c>
      <c r="D69" s="1" t="str">
        <f t="shared" si="35"/>
        <v>偿还融资负债本金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-10947.04</v>
      </c>
      <c r="O69" s="1">
        <v>71.29</v>
      </c>
      <c r="P69" s="1">
        <v>0</v>
      </c>
      <c r="R69" s="1" t="str">
        <f t="shared" si="36"/>
        <v>人民币</v>
      </c>
      <c r="S69" s="1" t="str">
        <f>"T4000834"</f>
        <v>T4000834</v>
      </c>
    </row>
    <row r="70" spans="1:18">
      <c r="A70" s="1" t="str">
        <f>"20200217"</f>
        <v>20200217</v>
      </c>
      <c r="D70" s="1" t="str">
        <f t="shared" si="34"/>
        <v>偿还融资利息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-1.28</v>
      </c>
      <c r="O70" s="1">
        <v>70.01</v>
      </c>
      <c r="P70" s="1">
        <v>0</v>
      </c>
      <c r="R70" s="1" t="str">
        <f t="shared" si="36"/>
        <v>人民币</v>
      </c>
    </row>
    <row r="71" spans="1:18">
      <c r="A71" s="1" t="str">
        <f>"20200217"</f>
        <v>20200217</v>
      </c>
      <c r="D71" s="1" t="str">
        <f>"偿还融资负债本金"</f>
        <v>偿还融资负债本金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-69.72</v>
      </c>
      <c r="O71" s="1">
        <v>0.29</v>
      </c>
      <c r="P71" s="1">
        <v>0</v>
      </c>
      <c r="R71" s="1" t="str">
        <f t="shared" si="36"/>
        <v>人民币</v>
      </c>
    </row>
    <row r="72" spans="1:18">
      <c r="A72" s="1" t="str">
        <f>"20200220"</f>
        <v>20200220</v>
      </c>
      <c r="D72" s="1" t="str">
        <f>"偿还融资利息"</f>
        <v>偿还融资利息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-0.29</v>
      </c>
      <c r="O72" s="1">
        <v>0</v>
      </c>
      <c r="P72" s="1">
        <v>0</v>
      </c>
      <c r="R72" s="1" t="str">
        <f t="shared" si="36"/>
        <v>人民币</v>
      </c>
    </row>
    <row r="73" spans="1:19">
      <c r="A73" s="1" t="str">
        <f t="shared" ref="A73:A79" si="37">"20200226"</f>
        <v>20200226</v>
      </c>
      <c r="B73" s="1" t="str">
        <f>"000543"</f>
        <v>000543</v>
      </c>
      <c r="C73" s="1" t="str">
        <f>"皖能电力"</f>
        <v>皖能电力</v>
      </c>
      <c r="D73" s="1" t="str">
        <f>"融资买入"</f>
        <v>融资买入</v>
      </c>
      <c r="E73" s="1">
        <v>4.07</v>
      </c>
      <c r="F73" s="1">
        <v>3000</v>
      </c>
      <c r="G73" s="1">
        <v>12210</v>
      </c>
      <c r="H73" s="1">
        <v>6.11</v>
      </c>
      <c r="I73" s="1">
        <v>5.02</v>
      </c>
      <c r="J73" s="1">
        <v>0</v>
      </c>
      <c r="K73" s="1">
        <v>0</v>
      </c>
      <c r="L73" s="1">
        <v>0</v>
      </c>
      <c r="M73" s="1">
        <v>0</v>
      </c>
      <c r="N73" s="1">
        <v>-12216.11</v>
      </c>
      <c r="O73" s="1">
        <v>-12216.11</v>
      </c>
      <c r="P73" s="1">
        <v>22000</v>
      </c>
      <c r="Q73" s="1" t="str">
        <f>"0602175409"</f>
        <v>0602175409</v>
      </c>
      <c r="R73" s="1" t="str">
        <f t="shared" si="36"/>
        <v>人民币</v>
      </c>
      <c r="S73" s="1" t="str">
        <f>"T4000616"</f>
        <v>T4000616</v>
      </c>
    </row>
    <row r="74" spans="1:19">
      <c r="A74" s="1" t="str">
        <f t="shared" si="37"/>
        <v>20200226</v>
      </c>
      <c r="B74" s="1" t="str">
        <f>"000543"</f>
        <v>000543</v>
      </c>
      <c r="C74" s="1" t="str">
        <f>"皖能电力"</f>
        <v>皖能电力</v>
      </c>
      <c r="D74" s="1" t="str">
        <f>"卖券还款"</f>
        <v>卖券还款</v>
      </c>
      <c r="E74" s="1">
        <v>4.12</v>
      </c>
      <c r="F74" s="1">
        <v>3000</v>
      </c>
      <c r="G74" s="1">
        <v>12360</v>
      </c>
      <c r="H74" s="1">
        <v>6.18</v>
      </c>
      <c r="I74" s="1">
        <v>5.08</v>
      </c>
      <c r="J74" s="1">
        <v>12.36</v>
      </c>
      <c r="K74" s="1">
        <v>0</v>
      </c>
      <c r="L74" s="1">
        <v>0</v>
      </c>
      <c r="M74" s="1">
        <v>0</v>
      </c>
      <c r="N74" s="1">
        <v>12341.46</v>
      </c>
      <c r="O74" s="1">
        <v>125.35</v>
      </c>
      <c r="P74" s="1">
        <v>19000</v>
      </c>
      <c r="Q74" s="1" t="str">
        <f>"0602175409"</f>
        <v>0602175409</v>
      </c>
      <c r="R74" s="1" t="str">
        <f t="shared" si="36"/>
        <v>人民币</v>
      </c>
      <c r="S74" s="1" t="str">
        <f t="shared" ref="S74:S79" si="38">"T4000969"</f>
        <v>T4000969</v>
      </c>
    </row>
    <row r="75" spans="1:19">
      <c r="A75" s="1" t="str">
        <f t="shared" si="37"/>
        <v>20200226</v>
      </c>
      <c r="D75" s="1" t="str">
        <f>"融资借入"</f>
        <v>融资借入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12216.11</v>
      </c>
      <c r="O75" s="1">
        <v>12341.46</v>
      </c>
      <c r="P75" s="1">
        <v>0</v>
      </c>
      <c r="R75" s="1" t="str">
        <f t="shared" si="36"/>
        <v>人民币</v>
      </c>
      <c r="S75" s="1" t="str">
        <f>"T4000616"</f>
        <v>T4000616</v>
      </c>
    </row>
    <row r="76" spans="1:19">
      <c r="A76" s="1" t="str">
        <f t="shared" si="37"/>
        <v>20200226</v>
      </c>
      <c r="D76" s="1" t="str">
        <f>"偿还融资利息"</f>
        <v>偿还融资利息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-3.4</v>
      </c>
      <c r="O76" s="1">
        <v>12338.06</v>
      </c>
      <c r="P76" s="1">
        <v>0</v>
      </c>
      <c r="R76" s="1" t="str">
        <f t="shared" si="36"/>
        <v>人民币</v>
      </c>
      <c r="S76" s="1" t="str">
        <f t="shared" si="38"/>
        <v>T4000969</v>
      </c>
    </row>
    <row r="77" spans="1:19">
      <c r="A77" s="1" t="str">
        <f t="shared" si="37"/>
        <v>20200226</v>
      </c>
      <c r="D77" s="1" t="str">
        <f>"偿还融资负债本金"</f>
        <v>偿还融资负债本金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-1769.38</v>
      </c>
      <c r="O77" s="1">
        <v>10568.68</v>
      </c>
      <c r="P77" s="1">
        <v>0</v>
      </c>
      <c r="R77" s="1" t="str">
        <f t="shared" si="36"/>
        <v>人民币</v>
      </c>
      <c r="S77" s="1" t="str">
        <f t="shared" si="38"/>
        <v>T4000969</v>
      </c>
    </row>
    <row r="78" spans="1:19">
      <c r="A78" s="1" t="str">
        <f t="shared" si="37"/>
        <v>20200226</v>
      </c>
      <c r="D78" s="1" t="str">
        <f>"偿还融资利息"</f>
        <v>偿还融资利息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-58.41</v>
      </c>
      <c r="O78" s="1">
        <v>10510.27</v>
      </c>
      <c r="P78" s="1">
        <v>0</v>
      </c>
      <c r="R78" s="1" t="str">
        <f t="shared" si="36"/>
        <v>人民币</v>
      </c>
      <c r="S78" s="1" t="str">
        <f t="shared" si="38"/>
        <v>T4000969</v>
      </c>
    </row>
    <row r="79" spans="1:19">
      <c r="A79" s="1" t="str">
        <f t="shared" si="37"/>
        <v>20200226</v>
      </c>
      <c r="D79" s="1" t="str">
        <f>"偿还融资负债本金"</f>
        <v>偿还融资负债本金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-10479.27</v>
      </c>
      <c r="O79" s="1">
        <v>31</v>
      </c>
      <c r="P79" s="1">
        <v>0</v>
      </c>
      <c r="R79" s="1" t="str">
        <f t="shared" si="36"/>
        <v>人民币</v>
      </c>
      <c r="S79" s="1" t="str">
        <f t="shared" si="38"/>
        <v>T4000969</v>
      </c>
    </row>
    <row r="80" spans="1:19">
      <c r="A80" s="1" t="str">
        <f>"20200309"</f>
        <v>20200309</v>
      </c>
      <c r="B80" s="1" t="str">
        <f>"002183"</f>
        <v>002183</v>
      </c>
      <c r="C80" s="1" t="str">
        <f>"怡 亚 通"</f>
        <v>怡 亚 通</v>
      </c>
      <c r="D80" s="1" t="str">
        <f>"融资买入"</f>
        <v>融资买入</v>
      </c>
      <c r="E80" s="1">
        <v>4.3</v>
      </c>
      <c r="F80" s="1">
        <v>2500</v>
      </c>
      <c r="G80" s="1">
        <v>10750</v>
      </c>
      <c r="H80" s="1">
        <v>5.38</v>
      </c>
      <c r="I80" s="1">
        <v>4.42</v>
      </c>
      <c r="J80" s="1">
        <v>0</v>
      </c>
      <c r="K80" s="1">
        <v>0</v>
      </c>
      <c r="L80" s="1">
        <v>0</v>
      </c>
      <c r="M80" s="1">
        <v>0</v>
      </c>
      <c r="N80" s="1">
        <v>-10755.38</v>
      </c>
      <c r="O80" s="1">
        <v>-10724.38</v>
      </c>
      <c r="P80" s="1">
        <v>15000</v>
      </c>
      <c r="Q80" s="1" t="str">
        <f>"0602175409"</f>
        <v>0602175409</v>
      </c>
      <c r="R80" s="1" t="str">
        <f t="shared" si="36"/>
        <v>人民币</v>
      </c>
      <c r="S80" s="1" t="str">
        <f>"T4000470"</f>
        <v>T4000470</v>
      </c>
    </row>
    <row r="81" spans="1:19">
      <c r="A81" s="1" t="str">
        <f>"20200309"</f>
        <v>20200309</v>
      </c>
      <c r="D81" s="1" t="str">
        <f>"融资借入"</f>
        <v>融资借入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10755.38</v>
      </c>
      <c r="O81" s="1">
        <v>31</v>
      </c>
      <c r="P81" s="1">
        <v>0</v>
      </c>
      <c r="R81" s="1" t="str">
        <f t="shared" si="36"/>
        <v>人民币</v>
      </c>
      <c r="S81" s="1" t="str">
        <f>"T4000470"</f>
        <v>T4000470</v>
      </c>
    </row>
    <row r="82" spans="1:19">
      <c r="A82" s="1" t="str">
        <f t="shared" ref="A82:A86" si="39">"20200310"</f>
        <v>20200310</v>
      </c>
      <c r="B82" s="1" t="str">
        <f>"002183"</f>
        <v>002183</v>
      </c>
      <c r="C82" s="1" t="str">
        <f>"怡 亚 通"</f>
        <v>怡 亚 通</v>
      </c>
      <c r="D82" s="1" t="str">
        <f>"卖券还款"</f>
        <v>卖券还款</v>
      </c>
      <c r="E82" s="1">
        <v>4.08</v>
      </c>
      <c r="F82" s="1">
        <v>2500</v>
      </c>
      <c r="G82" s="1">
        <v>10200</v>
      </c>
      <c r="H82" s="1">
        <v>5.1</v>
      </c>
      <c r="I82" s="1">
        <v>4.2</v>
      </c>
      <c r="J82" s="1">
        <v>10.2</v>
      </c>
      <c r="K82" s="1">
        <v>0</v>
      </c>
      <c r="L82" s="1">
        <v>0</v>
      </c>
      <c r="M82" s="1">
        <v>0</v>
      </c>
      <c r="N82" s="1">
        <v>10184.7</v>
      </c>
      <c r="O82" s="1">
        <v>10215.7</v>
      </c>
      <c r="P82" s="1">
        <v>12500</v>
      </c>
      <c r="Q82" s="1" t="str">
        <f>"0602175409"</f>
        <v>0602175409</v>
      </c>
      <c r="R82" s="1" t="str">
        <f t="shared" si="36"/>
        <v>人民币</v>
      </c>
      <c r="S82" s="1" t="str">
        <f t="shared" ref="S82:S86" si="40">"T4000844"</f>
        <v>T4000844</v>
      </c>
    </row>
    <row r="83" spans="1:19">
      <c r="A83" s="1" t="str">
        <f t="shared" si="39"/>
        <v>20200310</v>
      </c>
      <c r="D83" s="1" t="str">
        <f>"偿还融资利息"</f>
        <v>偿还融资利息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-4.57</v>
      </c>
      <c r="O83" s="1">
        <v>10211.13</v>
      </c>
      <c r="P83" s="1">
        <v>0</v>
      </c>
      <c r="R83" s="1" t="str">
        <f t="shared" si="36"/>
        <v>人民币</v>
      </c>
      <c r="S83" s="1" t="str">
        <f t="shared" si="40"/>
        <v>T4000844</v>
      </c>
    </row>
    <row r="84" spans="1:19">
      <c r="A84" s="1" t="str">
        <f t="shared" si="39"/>
        <v>20200310</v>
      </c>
      <c r="D84" s="1" t="str">
        <f>"偿还融资负债本金"</f>
        <v>偿还融资负债本金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-1526.73</v>
      </c>
      <c r="O84" s="1">
        <v>8684.4</v>
      </c>
      <c r="P84" s="1">
        <v>0</v>
      </c>
      <c r="R84" s="1" t="str">
        <f t="shared" si="36"/>
        <v>人民币</v>
      </c>
      <c r="S84" s="1" t="str">
        <f t="shared" si="40"/>
        <v>T4000844</v>
      </c>
    </row>
    <row r="85" spans="1:19">
      <c r="A85" s="1" t="str">
        <f t="shared" si="39"/>
        <v>20200310</v>
      </c>
      <c r="D85" s="1" t="str">
        <f>"偿还融资利息"</f>
        <v>偿还融资利息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-119.34</v>
      </c>
      <c r="O85" s="1">
        <v>8565.06</v>
      </c>
      <c r="P85" s="1">
        <v>0</v>
      </c>
      <c r="R85" s="1" t="str">
        <f t="shared" si="36"/>
        <v>人民币</v>
      </c>
      <c r="S85" s="1" t="str">
        <f t="shared" si="40"/>
        <v>T4000844</v>
      </c>
    </row>
    <row r="86" spans="1:19">
      <c r="A86" s="1" t="str">
        <f t="shared" si="39"/>
        <v>20200310</v>
      </c>
      <c r="D86" s="1" t="str">
        <f>"偿还融资负债本金"</f>
        <v>偿还融资负债本金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-8508.56</v>
      </c>
      <c r="O86" s="1">
        <v>56.5</v>
      </c>
      <c r="P86" s="1">
        <v>0</v>
      </c>
      <c r="R86" s="1" t="str">
        <f t="shared" si="36"/>
        <v>人民币</v>
      </c>
      <c r="S86" s="1" t="str">
        <f t="shared" si="40"/>
        <v>T4000844</v>
      </c>
    </row>
    <row r="87" spans="1:19">
      <c r="A87" s="1" t="str">
        <f>"20200318"</f>
        <v>20200318</v>
      </c>
      <c r="B87" s="1" t="str">
        <f>"000543"</f>
        <v>000543</v>
      </c>
      <c r="C87" s="1" t="str">
        <f>"皖能电力"</f>
        <v>皖能电力</v>
      </c>
      <c r="D87" s="1" t="str">
        <f>"融资买入"</f>
        <v>融资买入</v>
      </c>
      <c r="E87" s="1">
        <v>3.99</v>
      </c>
      <c r="F87" s="1">
        <v>3000</v>
      </c>
      <c r="G87" s="1">
        <v>11970</v>
      </c>
      <c r="H87" s="1">
        <v>5.99</v>
      </c>
      <c r="I87" s="1">
        <v>4.92</v>
      </c>
      <c r="J87" s="1">
        <v>0</v>
      </c>
      <c r="K87" s="1">
        <v>0</v>
      </c>
      <c r="L87" s="1">
        <v>0</v>
      </c>
      <c r="M87" s="1">
        <v>0</v>
      </c>
      <c r="N87" s="1">
        <v>-11975.99</v>
      </c>
      <c r="O87" s="1">
        <v>-11919.49</v>
      </c>
      <c r="P87" s="1">
        <v>22000</v>
      </c>
      <c r="Q87" s="1" t="str">
        <f>"0602175409"</f>
        <v>0602175409</v>
      </c>
      <c r="R87" s="1" t="str">
        <f t="shared" si="36"/>
        <v>人民币</v>
      </c>
      <c r="S87" s="1" t="str">
        <f>"T4000800"</f>
        <v>T4000800</v>
      </c>
    </row>
    <row r="88" spans="1:19">
      <c r="A88" s="1" t="str">
        <f>"20200318"</f>
        <v>20200318</v>
      </c>
      <c r="D88" s="1" t="str">
        <f>"融资借入"</f>
        <v>融资借入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11975.99</v>
      </c>
      <c r="O88" s="1">
        <v>56.5</v>
      </c>
      <c r="P88" s="1">
        <v>0</v>
      </c>
      <c r="R88" s="1" t="str">
        <f t="shared" si="36"/>
        <v>人民币</v>
      </c>
      <c r="S88" s="1" t="str">
        <f>"T4000800"</f>
        <v>T4000800</v>
      </c>
    </row>
    <row r="89" spans="1:18">
      <c r="A89" s="1" t="str">
        <f>"20200319"</f>
        <v>20200319</v>
      </c>
      <c r="D89" s="1" t="str">
        <f>"证券转银行"</f>
        <v>证券转银行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-50</v>
      </c>
      <c r="O89" s="1">
        <v>6.5</v>
      </c>
      <c r="P89" s="1">
        <v>0</v>
      </c>
      <c r="R89" s="1" t="str">
        <f t="shared" si="36"/>
        <v>人民币</v>
      </c>
    </row>
    <row r="90" spans="1:18">
      <c r="A90" s="1" t="str">
        <f>"20200320"</f>
        <v>20200320</v>
      </c>
      <c r="D90" s="1" t="str">
        <f>"利息归本"</f>
        <v>利息归本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0.04</v>
      </c>
      <c r="O90" s="1">
        <v>6.54</v>
      </c>
      <c r="P90" s="1">
        <v>0</v>
      </c>
      <c r="R90" s="1" t="str">
        <f t="shared" si="36"/>
        <v>人民币</v>
      </c>
    </row>
    <row r="91" spans="1:18">
      <c r="A91" s="1" t="str">
        <f>"20200320"</f>
        <v>20200320</v>
      </c>
      <c r="D91" s="1" t="str">
        <f>"偿还融资利息"</f>
        <v>偿还融资利息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-6.54</v>
      </c>
      <c r="O91" s="1">
        <v>0</v>
      </c>
      <c r="P91" s="1">
        <v>0</v>
      </c>
      <c r="R91" s="1" t="str">
        <f t="shared" si="36"/>
        <v>人民币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2"/>
  <sheetViews>
    <sheetView topLeftCell="A31" workbookViewId="0">
      <selection activeCell="E129" sqref="E129"/>
    </sheetView>
  </sheetViews>
  <sheetFormatPr defaultColWidth="9" defaultRowHeight="13.5"/>
  <cols>
    <col min="1" max="13" width="9" style="1"/>
    <col min="14" max="15" width="10.375" style="1"/>
    <col min="16" max="16" width="9.375" style="1"/>
    <col min="17" max="16384" width="9" style="1"/>
  </cols>
  <sheetData>
    <row r="1" spans="1:19">
      <c r="A1" s="1" t="str">
        <f>"交割日期"</f>
        <v>交割日期</v>
      </c>
      <c r="B1" s="1" t="str">
        <f>"证券代码"</f>
        <v>证券代码</v>
      </c>
      <c r="C1" s="1" t="str">
        <f>"证券名称"</f>
        <v>证券名称</v>
      </c>
      <c r="D1" s="1" t="str">
        <f>"业务名称"</f>
        <v>业务名称</v>
      </c>
      <c r="E1" s="1" t="str">
        <f>"成交价格"</f>
        <v>成交价格</v>
      </c>
      <c r="F1" s="1" t="str">
        <f>"成交数量"</f>
        <v>成交数量</v>
      </c>
      <c r="G1" s="1" t="str">
        <f>"成交金额"</f>
        <v>成交金额</v>
      </c>
      <c r="H1" s="1" t="str">
        <f>"手续费"</f>
        <v>手续费</v>
      </c>
      <c r="I1" s="1" t="str">
        <f>"净佣金"</f>
        <v>净佣金</v>
      </c>
      <c r="J1" s="1" t="str">
        <f>"印花税"</f>
        <v>印花税</v>
      </c>
      <c r="K1" s="1" t="str">
        <f>"过户费"</f>
        <v>过户费</v>
      </c>
      <c r="L1" s="1" t="str">
        <f>"结算费"</f>
        <v>结算费</v>
      </c>
      <c r="M1" s="1" t="str">
        <f>"其他费"</f>
        <v>其他费</v>
      </c>
      <c r="N1" s="1" t="str">
        <f>"发生金额"</f>
        <v>发生金额</v>
      </c>
      <c r="O1" s="1" t="str">
        <f>"剩余金额"</f>
        <v>剩余金额</v>
      </c>
      <c r="P1" s="1" t="str">
        <f>"证券数量"</f>
        <v>证券数量</v>
      </c>
      <c r="Q1" s="1" t="str">
        <f>"股东代码"</f>
        <v>股东代码</v>
      </c>
      <c r="R1" s="1" t="str">
        <f>"币种"</f>
        <v>币种</v>
      </c>
      <c r="S1" s="1" t="str">
        <f>"成交编号"</f>
        <v>成交编号</v>
      </c>
    </row>
    <row r="2" spans="1:18">
      <c r="A2" s="1" t="str">
        <f>"20200415"</f>
        <v>20200415</v>
      </c>
      <c r="D2" s="1" t="str">
        <f>"银行转证券"</f>
        <v>银行转证券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12004.23</v>
      </c>
      <c r="O2" s="1">
        <v>12004.23</v>
      </c>
      <c r="P2" s="1">
        <v>0</v>
      </c>
      <c r="R2" s="1" t="str">
        <f t="shared" ref="R2:R65" si="0">"人民币"</f>
        <v>人民币</v>
      </c>
    </row>
    <row r="3" spans="1:19">
      <c r="A3" s="1" t="str">
        <f>"20200415"</f>
        <v>20200415</v>
      </c>
      <c r="B3" s="1" t="str">
        <f>"000543"</f>
        <v>000543</v>
      </c>
      <c r="C3" s="1" t="str">
        <f>"皖能电力"</f>
        <v>皖能电力</v>
      </c>
      <c r="D3" s="1" t="str">
        <f>"融资买入"</f>
        <v>融资买入</v>
      </c>
      <c r="E3" s="1">
        <v>3.92</v>
      </c>
      <c r="F3" s="1">
        <v>3000</v>
      </c>
      <c r="G3" s="1">
        <v>11760</v>
      </c>
      <c r="H3" s="1">
        <v>5.88</v>
      </c>
      <c r="I3" s="1">
        <v>4.83</v>
      </c>
      <c r="J3" s="1">
        <v>0</v>
      </c>
      <c r="K3" s="1">
        <v>0</v>
      </c>
      <c r="L3" s="1">
        <v>0</v>
      </c>
      <c r="M3" s="1">
        <v>0</v>
      </c>
      <c r="N3" s="1">
        <v>-11765.88</v>
      </c>
      <c r="O3" s="1">
        <v>238.35</v>
      </c>
      <c r="P3" s="1">
        <v>25000</v>
      </c>
      <c r="Q3" s="1" t="str">
        <f t="shared" ref="Q3:Q6" si="1">"0602175409"</f>
        <v>0602175409</v>
      </c>
      <c r="R3" s="1" t="str">
        <f t="shared" si="0"/>
        <v>人民币</v>
      </c>
      <c r="S3" s="1" t="str">
        <f>"T4001044"</f>
        <v>T4001044</v>
      </c>
    </row>
    <row r="4" spans="1:19">
      <c r="A4" s="1" t="str">
        <f>"20200415"</f>
        <v>20200415</v>
      </c>
      <c r="D4" s="1" t="str">
        <f>"融资借入"</f>
        <v>融资借入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11765.88</v>
      </c>
      <c r="O4" s="1">
        <v>12004.23</v>
      </c>
      <c r="P4" s="1">
        <v>0</v>
      </c>
      <c r="R4" s="1" t="str">
        <f t="shared" si="0"/>
        <v>人民币</v>
      </c>
      <c r="S4" s="1" t="str">
        <f>"T4001044"</f>
        <v>T4001044</v>
      </c>
    </row>
    <row r="5" spans="1:19">
      <c r="A5" s="1" t="str">
        <f>"20200415"</f>
        <v>20200415</v>
      </c>
      <c r="B5" s="1" t="str">
        <f>"300829"</f>
        <v>300829</v>
      </c>
      <c r="D5" s="1" t="str">
        <f>"配售缴款"</f>
        <v>配售缴款</v>
      </c>
      <c r="E5" s="1">
        <v>22.53</v>
      </c>
      <c r="F5" s="1">
        <v>500</v>
      </c>
      <c r="G5" s="1">
        <v>11265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-11265</v>
      </c>
      <c r="O5" s="1">
        <v>739.23</v>
      </c>
      <c r="P5" s="1">
        <v>0</v>
      </c>
      <c r="Q5" s="1" t="str">
        <f t="shared" si="1"/>
        <v>0602175409</v>
      </c>
      <c r="R5" s="1" t="str">
        <f t="shared" si="0"/>
        <v>人民币</v>
      </c>
      <c r="S5" s="1" t="str">
        <f>"T4000486"</f>
        <v>T4000486</v>
      </c>
    </row>
    <row r="6" spans="1:18">
      <c r="A6" s="1" t="str">
        <f>"20200417"</f>
        <v>20200417</v>
      </c>
      <c r="B6" s="1" t="str">
        <f>"300829"</f>
        <v>300829</v>
      </c>
      <c r="C6" s="1" t="str">
        <f>"金丹科技"</f>
        <v>金丹科技</v>
      </c>
      <c r="D6" s="1" t="str">
        <f>"新股入帐"</f>
        <v>新股入帐</v>
      </c>
      <c r="E6" s="1">
        <v>22.53</v>
      </c>
      <c r="F6" s="1">
        <v>500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739.23</v>
      </c>
      <c r="P6" s="1">
        <v>500</v>
      </c>
      <c r="Q6" s="1" t="str">
        <f t="shared" si="1"/>
        <v>0602175409</v>
      </c>
      <c r="R6" s="1" t="str">
        <f t="shared" si="0"/>
        <v>人民币</v>
      </c>
    </row>
    <row r="7" spans="1:18">
      <c r="A7" s="1" t="str">
        <f t="shared" ref="A7:A11" si="2">"20200420"</f>
        <v>20200420</v>
      </c>
      <c r="D7" s="1" t="str">
        <f t="shared" ref="D7:D11" si="3">"偿还融资利息"</f>
        <v>偿还融资利息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-58.08</v>
      </c>
      <c r="O7" s="1">
        <v>681.15</v>
      </c>
      <c r="P7" s="1">
        <v>0</v>
      </c>
      <c r="R7" s="1" t="str">
        <f t="shared" si="0"/>
        <v>人民币</v>
      </c>
    </row>
    <row r="8" spans="1:18">
      <c r="A8" s="1" t="str">
        <f t="shared" si="2"/>
        <v>20200420</v>
      </c>
      <c r="D8" s="1" t="str">
        <f t="shared" si="3"/>
        <v>偿还融资利息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-134.69</v>
      </c>
      <c r="O8" s="1">
        <v>546.46</v>
      </c>
      <c r="P8" s="1">
        <v>0</v>
      </c>
      <c r="R8" s="1" t="str">
        <f t="shared" si="0"/>
        <v>人民币</v>
      </c>
    </row>
    <row r="9" spans="1:18">
      <c r="A9" s="1" t="str">
        <f t="shared" si="2"/>
        <v>20200420</v>
      </c>
      <c r="D9" s="1" t="str">
        <f t="shared" si="3"/>
        <v>偿还融资利息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-305.68</v>
      </c>
      <c r="O9" s="1">
        <v>240.78</v>
      </c>
      <c r="P9" s="1">
        <v>0</v>
      </c>
      <c r="R9" s="1" t="str">
        <f t="shared" si="0"/>
        <v>人民币</v>
      </c>
    </row>
    <row r="10" spans="1:18">
      <c r="A10" s="1" t="str">
        <f t="shared" si="2"/>
        <v>20200420</v>
      </c>
      <c r="D10" s="1" t="str">
        <f t="shared" si="3"/>
        <v>偿还融资利息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-155.73</v>
      </c>
      <c r="O10" s="1">
        <v>85.05</v>
      </c>
      <c r="P10" s="1">
        <v>0</v>
      </c>
      <c r="R10" s="1" t="str">
        <f t="shared" si="0"/>
        <v>人民币</v>
      </c>
    </row>
    <row r="11" spans="1:18">
      <c r="A11" s="1" t="str">
        <f t="shared" si="2"/>
        <v>20200420</v>
      </c>
      <c r="D11" s="1" t="str">
        <f t="shared" si="3"/>
        <v>偿还融资利息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-85.05</v>
      </c>
      <c r="O11" s="1">
        <v>0</v>
      </c>
      <c r="P11" s="1">
        <v>0</v>
      </c>
      <c r="R11" s="1" t="str">
        <f t="shared" si="0"/>
        <v>人民币</v>
      </c>
    </row>
    <row r="12" spans="1:19">
      <c r="A12" s="1" t="str">
        <f>"20200423"</f>
        <v>20200423</v>
      </c>
      <c r="B12" s="1" t="str">
        <f>"600362"</f>
        <v>600362</v>
      </c>
      <c r="C12" s="1" t="str">
        <f>"江西铜业"</f>
        <v>江西铜业</v>
      </c>
      <c r="D12" s="1" t="str">
        <f>"融资买入"</f>
        <v>融资买入</v>
      </c>
      <c r="E12" s="1">
        <v>12.9</v>
      </c>
      <c r="F12" s="1">
        <v>1000</v>
      </c>
      <c r="G12" s="1">
        <v>12900</v>
      </c>
      <c r="H12" s="1">
        <v>6.45</v>
      </c>
      <c r="I12" s="1">
        <v>5.56</v>
      </c>
      <c r="J12" s="1">
        <v>0</v>
      </c>
      <c r="K12" s="1">
        <v>0.26</v>
      </c>
      <c r="L12" s="1">
        <v>0</v>
      </c>
      <c r="M12" s="1">
        <v>0</v>
      </c>
      <c r="N12" s="1">
        <v>-12906.71</v>
      </c>
      <c r="O12" s="1">
        <v>-12906.71</v>
      </c>
      <c r="P12" s="1">
        <v>1000</v>
      </c>
      <c r="Q12" s="1" t="str">
        <f>"E021635187"</f>
        <v>E021635187</v>
      </c>
      <c r="R12" s="1" t="str">
        <f t="shared" si="0"/>
        <v>人民币</v>
      </c>
      <c r="S12" s="1" t="str">
        <f>"0136000130"</f>
        <v>0136000130</v>
      </c>
    </row>
    <row r="13" spans="1:19">
      <c r="A13" s="1" t="str">
        <f>"20200423"</f>
        <v>20200423</v>
      </c>
      <c r="D13" s="1" t="str">
        <f>"融资借入"</f>
        <v>融资借入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12906.71</v>
      </c>
      <c r="O13" s="1">
        <v>0</v>
      </c>
      <c r="P13" s="1">
        <v>0</v>
      </c>
      <c r="R13" s="1" t="str">
        <f t="shared" si="0"/>
        <v>人民币</v>
      </c>
      <c r="S13" s="1" t="str">
        <f>"0136000130"</f>
        <v>0136000130</v>
      </c>
    </row>
    <row r="14" spans="1:18">
      <c r="A14" s="1" t="str">
        <f>"20200429"</f>
        <v>20200429</v>
      </c>
      <c r="D14" s="1" t="str">
        <f>"银行转证券"</f>
        <v>银行转证券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9723.11</v>
      </c>
      <c r="O14" s="1">
        <v>9723.11</v>
      </c>
      <c r="P14" s="1">
        <v>0</v>
      </c>
      <c r="R14" s="1" t="str">
        <f t="shared" si="0"/>
        <v>人民币</v>
      </c>
    </row>
    <row r="15" spans="1:19">
      <c r="A15" s="1" t="str">
        <f>"20200429"</f>
        <v>20200429</v>
      </c>
      <c r="B15" s="1" t="str">
        <f>"300829"</f>
        <v>300829</v>
      </c>
      <c r="C15" s="1" t="str">
        <f>"金丹科技"</f>
        <v>金丹科技</v>
      </c>
      <c r="D15" s="1" t="str">
        <f>"担保品卖出"</f>
        <v>担保品卖出</v>
      </c>
      <c r="E15" s="1">
        <v>40.2</v>
      </c>
      <c r="F15" s="1">
        <v>500</v>
      </c>
      <c r="G15" s="1">
        <v>20100</v>
      </c>
      <c r="H15" s="1">
        <v>6.23</v>
      </c>
      <c r="I15" s="1">
        <v>4.45</v>
      </c>
      <c r="J15" s="1">
        <v>20.1</v>
      </c>
      <c r="K15" s="1">
        <v>0</v>
      </c>
      <c r="L15" s="1">
        <v>0</v>
      </c>
      <c r="M15" s="1">
        <v>0</v>
      </c>
      <c r="N15" s="1">
        <v>20073.67</v>
      </c>
      <c r="O15" s="1">
        <v>29796.78</v>
      </c>
      <c r="P15" s="1">
        <v>0</v>
      </c>
      <c r="Q15" s="1" t="str">
        <f>"0602175409"</f>
        <v>0602175409</v>
      </c>
      <c r="R15" s="1" t="str">
        <f t="shared" si="0"/>
        <v>人民币</v>
      </c>
      <c r="S15" s="1" t="str">
        <f>"T4000718"</f>
        <v>T4000718</v>
      </c>
    </row>
    <row r="16" spans="1:18">
      <c r="A16" s="1" t="str">
        <f t="shared" ref="A16:A18" si="4">"20200506"</f>
        <v>20200506</v>
      </c>
      <c r="D16" s="1" t="str">
        <f>"证券转银行"</f>
        <v>证券转银行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-26000</v>
      </c>
      <c r="O16" s="1">
        <v>3796.78</v>
      </c>
      <c r="P16" s="1">
        <v>0</v>
      </c>
      <c r="R16" s="1" t="str">
        <f t="shared" si="0"/>
        <v>人民币</v>
      </c>
    </row>
    <row r="17" spans="1:18">
      <c r="A17" s="1" t="str">
        <f t="shared" si="4"/>
        <v>20200506</v>
      </c>
      <c r="D17" s="1" t="str">
        <f>"偿还融资利息"</f>
        <v>偿还融资利息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-23.07</v>
      </c>
      <c r="O17" s="1">
        <v>3773.71</v>
      </c>
      <c r="P17" s="1">
        <v>0</v>
      </c>
      <c r="R17" s="1" t="str">
        <f t="shared" si="0"/>
        <v>人民币</v>
      </c>
    </row>
    <row r="18" spans="1:18">
      <c r="A18" s="1" t="str">
        <f t="shared" si="4"/>
        <v>20200506</v>
      </c>
      <c r="D18" s="1" t="str">
        <f>"偿还融资负债本金"</f>
        <v>偿还融资负债本金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-2976.93</v>
      </c>
      <c r="O18" s="1">
        <v>796.78</v>
      </c>
      <c r="P18" s="1">
        <v>0</v>
      </c>
      <c r="R18" s="1" t="str">
        <f t="shared" si="0"/>
        <v>人民币</v>
      </c>
    </row>
    <row r="19" spans="1:19">
      <c r="A19" s="1" t="str">
        <f>"20200512"</f>
        <v>20200512</v>
      </c>
      <c r="B19" s="1" t="str">
        <f>"000543"</f>
        <v>000543</v>
      </c>
      <c r="C19" s="1" t="str">
        <f>"皖能电力"</f>
        <v>皖能电力</v>
      </c>
      <c r="D19" s="1" t="str">
        <f>"融资买入"</f>
        <v>融资买入</v>
      </c>
      <c r="E19" s="1">
        <v>3.86</v>
      </c>
      <c r="F19" s="1">
        <v>3000</v>
      </c>
      <c r="G19" s="1">
        <v>11580</v>
      </c>
      <c r="H19" s="1">
        <v>5.79</v>
      </c>
      <c r="I19" s="1">
        <v>4.77</v>
      </c>
      <c r="J19" s="1">
        <v>0</v>
      </c>
      <c r="K19" s="1">
        <v>0</v>
      </c>
      <c r="L19" s="1">
        <v>0</v>
      </c>
      <c r="M19" s="1">
        <v>0</v>
      </c>
      <c r="N19" s="1">
        <v>-11585.79</v>
      </c>
      <c r="O19" s="1">
        <v>-10789.01</v>
      </c>
      <c r="P19" s="1">
        <v>28000</v>
      </c>
      <c r="Q19" s="1" t="str">
        <f>"0602175409"</f>
        <v>0602175409</v>
      </c>
      <c r="R19" s="1" t="str">
        <f t="shared" si="0"/>
        <v>人民币</v>
      </c>
      <c r="S19" s="1" t="str">
        <f>"T4000649"</f>
        <v>T4000649</v>
      </c>
    </row>
    <row r="20" spans="1:19">
      <c r="A20" s="1" t="str">
        <f>"20200512"</f>
        <v>20200512</v>
      </c>
      <c r="D20" s="1" t="str">
        <f>"融资借入"</f>
        <v>融资借入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11585.79</v>
      </c>
      <c r="O20" s="1">
        <v>796.78</v>
      </c>
      <c r="P20" s="1">
        <v>0</v>
      </c>
      <c r="R20" s="1" t="str">
        <f t="shared" si="0"/>
        <v>人民币</v>
      </c>
      <c r="S20" s="1" t="str">
        <f>"T4000649"</f>
        <v>T4000649</v>
      </c>
    </row>
    <row r="21" spans="1:19">
      <c r="A21" s="1" t="str">
        <f t="shared" ref="A21:A34" si="5">"20200520"</f>
        <v>20200520</v>
      </c>
      <c r="B21" s="1" t="str">
        <f>"600362"</f>
        <v>600362</v>
      </c>
      <c r="C21" s="1" t="str">
        <f>"江西铜业"</f>
        <v>江西铜业</v>
      </c>
      <c r="D21" s="1" t="str">
        <f>"卖券还款"</f>
        <v>卖券还款</v>
      </c>
      <c r="E21" s="1">
        <v>12.94</v>
      </c>
      <c r="F21" s="1">
        <v>1000</v>
      </c>
      <c r="G21" s="1">
        <v>12940</v>
      </c>
      <c r="H21" s="1">
        <v>6.47</v>
      </c>
      <c r="I21" s="1">
        <v>5.58</v>
      </c>
      <c r="J21" s="1">
        <v>12.94</v>
      </c>
      <c r="K21" s="1">
        <v>0.26</v>
      </c>
      <c r="L21" s="1">
        <v>0</v>
      </c>
      <c r="M21" s="1">
        <v>0</v>
      </c>
      <c r="N21" s="1">
        <v>12920.33</v>
      </c>
      <c r="O21" s="1">
        <v>13717.11</v>
      </c>
      <c r="P21" s="1">
        <v>0</v>
      </c>
      <c r="Q21" s="1" t="str">
        <f>"E021635187"</f>
        <v>E021635187</v>
      </c>
      <c r="R21" s="1" t="str">
        <f t="shared" si="0"/>
        <v>人民币</v>
      </c>
      <c r="S21" s="1" t="str">
        <f t="shared" ref="S21:S27" si="6">"0136001132"</f>
        <v>0136001132</v>
      </c>
    </row>
    <row r="22" spans="1:19">
      <c r="A22" s="1" t="str">
        <f t="shared" si="5"/>
        <v>20200520</v>
      </c>
      <c r="D22" s="1" t="str">
        <f t="shared" ref="D22:D26" si="7">"偿还融资利息"</f>
        <v>偿还融资利息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-11.78</v>
      </c>
      <c r="O22" s="1">
        <v>13705.33</v>
      </c>
      <c r="P22" s="1">
        <v>0</v>
      </c>
      <c r="R22" s="1" t="str">
        <f t="shared" si="0"/>
        <v>人民币</v>
      </c>
      <c r="S22" s="1" t="str">
        <f t="shared" si="6"/>
        <v>0136001132</v>
      </c>
    </row>
    <row r="23" spans="1:19">
      <c r="A23" s="1" t="str">
        <f t="shared" si="5"/>
        <v>20200520</v>
      </c>
      <c r="D23" s="1" t="str">
        <f t="shared" ref="D23:D27" si="8">"偿还融资负债本金"</f>
        <v>偿还融资负债本金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-3642.07</v>
      </c>
      <c r="O23" s="1">
        <v>10063.26</v>
      </c>
      <c r="P23" s="1">
        <v>0</v>
      </c>
      <c r="R23" s="1" t="str">
        <f t="shared" si="0"/>
        <v>人民币</v>
      </c>
      <c r="S23" s="1" t="str">
        <f t="shared" si="6"/>
        <v>0136001132</v>
      </c>
    </row>
    <row r="24" spans="1:19">
      <c r="A24" s="1" t="str">
        <f t="shared" si="5"/>
        <v>20200520</v>
      </c>
      <c r="D24" s="1" t="str">
        <f t="shared" si="7"/>
        <v>偿还融资利息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-52.79</v>
      </c>
      <c r="O24" s="1">
        <v>10010.47</v>
      </c>
      <c r="P24" s="1">
        <v>0</v>
      </c>
      <c r="R24" s="1" t="str">
        <f t="shared" si="0"/>
        <v>人民币</v>
      </c>
      <c r="S24" s="1" t="str">
        <f t="shared" si="6"/>
        <v>0136001132</v>
      </c>
    </row>
    <row r="25" spans="1:19">
      <c r="A25" s="1" t="str">
        <f t="shared" si="5"/>
        <v>20200520</v>
      </c>
      <c r="D25" s="1" t="str">
        <f t="shared" si="8"/>
        <v>偿还融资负债本金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-7855</v>
      </c>
      <c r="O25" s="1">
        <v>2155.47</v>
      </c>
      <c r="P25" s="1">
        <v>0</v>
      </c>
      <c r="R25" s="1" t="str">
        <f t="shared" si="0"/>
        <v>人民币</v>
      </c>
      <c r="S25" s="1" t="str">
        <f t="shared" si="6"/>
        <v>0136001132</v>
      </c>
    </row>
    <row r="26" spans="1:19">
      <c r="A26" s="1" t="str">
        <f t="shared" si="5"/>
        <v>20200520</v>
      </c>
      <c r="D26" s="1" t="str">
        <f t="shared" si="7"/>
        <v>偿还融资利息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-128.48</v>
      </c>
      <c r="O26" s="1">
        <v>2026.99</v>
      </c>
      <c r="P26" s="1">
        <v>0</v>
      </c>
      <c r="R26" s="1" t="str">
        <f t="shared" si="0"/>
        <v>人民币</v>
      </c>
      <c r="S26" s="1" t="str">
        <f t="shared" si="6"/>
        <v>0136001132</v>
      </c>
    </row>
    <row r="27" spans="1:19">
      <c r="A27" s="1" t="str">
        <f t="shared" si="5"/>
        <v>20200520</v>
      </c>
      <c r="D27" s="1" t="str">
        <f t="shared" si="8"/>
        <v>偿还融资负债本金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-1197.86</v>
      </c>
      <c r="O27" s="1">
        <v>829.13</v>
      </c>
      <c r="P27" s="1">
        <v>0</v>
      </c>
      <c r="R27" s="1" t="str">
        <f t="shared" si="0"/>
        <v>人民币</v>
      </c>
      <c r="S27" s="1" t="str">
        <f t="shared" si="6"/>
        <v>0136001132</v>
      </c>
    </row>
    <row r="28" spans="1:18">
      <c r="A28" s="1" t="str">
        <f t="shared" si="5"/>
        <v>20200520</v>
      </c>
      <c r="D28" s="1" t="str">
        <f t="shared" ref="D28:D34" si="9">"偿还融资利息"</f>
        <v>偿还融资利息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-4.15</v>
      </c>
      <c r="O28" s="1">
        <v>824.98</v>
      </c>
      <c r="P28" s="1">
        <v>0</v>
      </c>
      <c r="R28" s="1" t="str">
        <f t="shared" si="0"/>
        <v>人民币</v>
      </c>
    </row>
    <row r="29" spans="1:18">
      <c r="A29" s="1" t="str">
        <f t="shared" si="5"/>
        <v>20200520</v>
      </c>
      <c r="D29" s="1" t="str">
        <f t="shared" si="9"/>
        <v>偿还融资利息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-84.95</v>
      </c>
      <c r="O29" s="1">
        <v>740.03</v>
      </c>
      <c r="P29" s="1">
        <v>0</v>
      </c>
      <c r="R29" s="1" t="str">
        <f t="shared" si="0"/>
        <v>人民币</v>
      </c>
    </row>
    <row r="30" spans="1:18">
      <c r="A30" s="1" t="str">
        <f t="shared" si="5"/>
        <v>20200520</v>
      </c>
      <c r="D30" s="1" t="str">
        <f t="shared" si="9"/>
        <v>偿还融资利息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-96.83</v>
      </c>
      <c r="O30" s="1">
        <v>643.2</v>
      </c>
      <c r="P30" s="1">
        <v>0</v>
      </c>
      <c r="R30" s="1" t="str">
        <f t="shared" si="0"/>
        <v>人民币</v>
      </c>
    </row>
    <row r="31" spans="1:18">
      <c r="A31" s="1" t="str">
        <f t="shared" si="5"/>
        <v>20200520</v>
      </c>
      <c r="D31" s="1" t="str">
        <f t="shared" si="9"/>
        <v>偿还融资利息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-177.9</v>
      </c>
      <c r="O31" s="1">
        <v>465.3</v>
      </c>
      <c r="P31" s="1">
        <v>0</v>
      </c>
      <c r="R31" s="1" t="str">
        <f t="shared" si="0"/>
        <v>人民币</v>
      </c>
    </row>
    <row r="32" spans="1:18">
      <c r="A32" s="1" t="str">
        <f t="shared" si="5"/>
        <v>20200520</v>
      </c>
      <c r="D32" s="1" t="str">
        <f t="shared" si="9"/>
        <v>偿还融资利息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-98.28</v>
      </c>
      <c r="O32" s="1">
        <v>367.02</v>
      </c>
      <c r="P32" s="1">
        <v>0</v>
      </c>
      <c r="R32" s="1" t="str">
        <f t="shared" si="0"/>
        <v>人民币</v>
      </c>
    </row>
    <row r="33" spans="1:18">
      <c r="A33" s="1" t="str">
        <f t="shared" si="5"/>
        <v>20200520</v>
      </c>
      <c r="D33" s="1" t="str">
        <f t="shared" si="9"/>
        <v>偿还融资利息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-83.77</v>
      </c>
      <c r="O33" s="1">
        <v>283.25</v>
      </c>
      <c r="P33" s="1">
        <v>0</v>
      </c>
      <c r="R33" s="1" t="str">
        <f t="shared" si="0"/>
        <v>人民币</v>
      </c>
    </row>
    <row r="34" spans="1:18">
      <c r="A34" s="1" t="str">
        <f t="shared" si="5"/>
        <v>20200520</v>
      </c>
      <c r="D34" s="1" t="str">
        <f t="shared" si="9"/>
        <v>偿还融资利息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-24.2</v>
      </c>
      <c r="O34" s="1">
        <v>259.05</v>
      </c>
      <c r="P34" s="1">
        <v>0</v>
      </c>
      <c r="R34" s="1" t="str">
        <f t="shared" si="0"/>
        <v>人民币</v>
      </c>
    </row>
    <row r="35" spans="1:19">
      <c r="A35" s="1" t="str">
        <f>"20200528"</f>
        <v>20200528</v>
      </c>
      <c r="B35" s="1" t="str">
        <f>"600362"</f>
        <v>600362</v>
      </c>
      <c r="C35" s="1" t="str">
        <f>"江西铜业"</f>
        <v>江西铜业</v>
      </c>
      <c r="D35" s="1" t="str">
        <f>"融资买入"</f>
        <v>融资买入</v>
      </c>
      <c r="E35" s="1">
        <v>12.66</v>
      </c>
      <c r="F35" s="1">
        <v>1000</v>
      </c>
      <c r="G35" s="1">
        <v>12660</v>
      </c>
      <c r="H35" s="1">
        <v>6.33</v>
      </c>
      <c r="I35" s="1">
        <v>5.46</v>
      </c>
      <c r="J35" s="1">
        <v>0</v>
      </c>
      <c r="K35" s="1">
        <v>0.25</v>
      </c>
      <c r="L35" s="1">
        <v>0</v>
      </c>
      <c r="M35" s="1">
        <v>0</v>
      </c>
      <c r="N35" s="1">
        <v>-12666.58</v>
      </c>
      <c r="O35" s="1">
        <v>-12407.53</v>
      </c>
      <c r="P35" s="1">
        <v>1000</v>
      </c>
      <c r="Q35" s="1" t="str">
        <f>"E021635187"</f>
        <v>E021635187</v>
      </c>
      <c r="R35" s="1" t="str">
        <f t="shared" si="0"/>
        <v>人民币</v>
      </c>
      <c r="S35" s="1" t="str">
        <f>"0136000521"</f>
        <v>0136000521</v>
      </c>
    </row>
    <row r="36" spans="1:19">
      <c r="A36" s="1" t="str">
        <f>"20200528"</f>
        <v>20200528</v>
      </c>
      <c r="D36" s="1" t="str">
        <f>"融资借入"</f>
        <v>融资借入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12666.58</v>
      </c>
      <c r="O36" s="1">
        <v>259.05</v>
      </c>
      <c r="P36" s="1">
        <v>0</v>
      </c>
      <c r="R36" s="1" t="str">
        <f t="shared" si="0"/>
        <v>人民币</v>
      </c>
      <c r="S36" s="1" t="str">
        <f>"0136000521"</f>
        <v>0136000521</v>
      </c>
    </row>
    <row r="37" spans="1:19">
      <c r="A37" s="1" t="str">
        <f t="shared" ref="A37:A39" si="10">"20200603"</f>
        <v>20200603</v>
      </c>
      <c r="B37" s="1" t="str">
        <f>"600362"</f>
        <v>600362</v>
      </c>
      <c r="C37" s="1" t="str">
        <f>"江西铜业"</f>
        <v>江西铜业</v>
      </c>
      <c r="D37" s="1" t="str">
        <f>"卖券还款"</f>
        <v>卖券还款</v>
      </c>
      <c r="E37" s="1">
        <v>13.11</v>
      </c>
      <c r="F37" s="1">
        <v>1000</v>
      </c>
      <c r="G37" s="1">
        <v>13110</v>
      </c>
      <c r="H37" s="1">
        <v>6.56</v>
      </c>
      <c r="I37" s="1">
        <v>5.66</v>
      </c>
      <c r="J37" s="1">
        <v>13.11</v>
      </c>
      <c r="K37" s="1">
        <v>0.26</v>
      </c>
      <c r="L37" s="1">
        <v>0</v>
      </c>
      <c r="M37" s="1">
        <v>0</v>
      </c>
      <c r="N37" s="1">
        <v>13090.07</v>
      </c>
      <c r="O37" s="1">
        <v>13349.12</v>
      </c>
      <c r="P37" s="1">
        <v>0</v>
      </c>
      <c r="Q37" s="1" t="str">
        <f t="shared" ref="Q37:Q42" si="11">"E021635187"</f>
        <v>E021635187</v>
      </c>
      <c r="R37" s="1" t="str">
        <f t="shared" si="0"/>
        <v>人民币</v>
      </c>
      <c r="S37" s="1" t="str">
        <f t="shared" ref="S37:S39" si="12">"0136000877"</f>
        <v>0136000877</v>
      </c>
    </row>
    <row r="38" spans="1:19">
      <c r="A38" s="1" t="str">
        <f t="shared" si="10"/>
        <v>20200603</v>
      </c>
      <c r="D38" s="1" t="str">
        <f>"偿还融资利息"</f>
        <v>偿还融资利息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-53.97</v>
      </c>
      <c r="O38" s="1">
        <v>13295.15</v>
      </c>
      <c r="P38" s="1">
        <v>0</v>
      </c>
      <c r="R38" s="1" t="str">
        <f t="shared" si="0"/>
        <v>人民币</v>
      </c>
      <c r="S38" s="1" t="str">
        <f t="shared" si="12"/>
        <v>0136000877</v>
      </c>
    </row>
    <row r="39" spans="1:19">
      <c r="A39" s="1" t="str">
        <f t="shared" si="10"/>
        <v>20200603</v>
      </c>
      <c r="D39" s="1" t="str">
        <f>"偿还融资负债本金"</f>
        <v>偿还融资负债本金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-13003.33</v>
      </c>
      <c r="O39" s="1">
        <v>291.82</v>
      </c>
      <c r="P39" s="1">
        <v>0</v>
      </c>
      <c r="R39" s="1" t="str">
        <f t="shared" si="0"/>
        <v>人民币</v>
      </c>
      <c r="S39" s="1" t="str">
        <f t="shared" si="12"/>
        <v>0136000877</v>
      </c>
    </row>
    <row r="40" spans="1:19">
      <c r="A40" s="1" t="str">
        <f t="shared" ref="A40:A48" si="13">"20200604"</f>
        <v>20200604</v>
      </c>
      <c r="B40" s="1" t="str">
        <f>"000543"</f>
        <v>000543</v>
      </c>
      <c r="C40" s="1" t="str">
        <f>"皖能电力"</f>
        <v>皖能电力</v>
      </c>
      <c r="D40" s="1" t="str">
        <f>"卖券还款"</f>
        <v>卖券还款</v>
      </c>
      <c r="E40" s="1">
        <v>3.92</v>
      </c>
      <c r="F40" s="1">
        <v>3000</v>
      </c>
      <c r="G40" s="1">
        <v>11760</v>
      </c>
      <c r="H40" s="1">
        <v>5.88</v>
      </c>
      <c r="I40" s="1">
        <v>4.83</v>
      </c>
      <c r="J40" s="1">
        <v>11.76</v>
      </c>
      <c r="K40" s="1">
        <v>0</v>
      </c>
      <c r="L40" s="1">
        <v>0</v>
      </c>
      <c r="M40" s="1">
        <v>0</v>
      </c>
      <c r="N40" s="1">
        <v>11742.36</v>
      </c>
      <c r="O40" s="1">
        <v>12034.18</v>
      </c>
      <c r="P40" s="1">
        <v>25000</v>
      </c>
      <c r="Q40" s="1" t="str">
        <f>"0602175409"</f>
        <v>0602175409</v>
      </c>
      <c r="R40" s="1" t="str">
        <f t="shared" si="0"/>
        <v>人民币</v>
      </c>
      <c r="S40" s="1" t="str">
        <f>"T4000183"</f>
        <v>T4000183</v>
      </c>
    </row>
    <row r="41" spans="1:19">
      <c r="A41" s="1" t="str">
        <f t="shared" si="13"/>
        <v>20200604</v>
      </c>
      <c r="B41" s="1" t="str">
        <f>"603707"</f>
        <v>603707</v>
      </c>
      <c r="C41" s="1" t="str">
        <f>"健友股份"</f>
        <v>健友股份</v>
      </c>
      <c r="D41" s="1" t="str">
        <f>"融券卖出"</f>
        <v>融券卖出</v>
      </c>
      <c r="E41" s="1">
        <v>61.01</v>
      </c>
      <c r="F41" s="1">
        <v>200</v>
      </c>
      <c r="G41" s="1">
        <v>12202</v>
      </c>
      <c r="H41" s="1">
        <v>6.1</v>
      </c>
      <c r="I41" s="1">
        <v>5.27</v>
      </c>
      <c r="J41" s="1">
        <v>12.2</v>
      </c>
      <c r="K41" s="1">
        <v>0.24</v>
      </c>
      <c r="L41" s="1">
        <v>0</v>
      </c>
      <c r="M41" s="1">
        <v>0</v>
      </c>
      <c r="N41" s="1">
        <v>12183.46</v>
      </c>
      <c r="O41" s="1">
        <v>24217.64</v>
      </c>
      <c r="P41" s="1">
        <v>0</v>
      </c>
      <c r="Q41" s="1" t="str">
        <f t="shared" si="11"/>
        <v>E021635187</v>
      </c>
      <c r="R41" s="1" t="str">
        <f t="shared" si="0"/>
        <v>人民币</v>
      </c>
      <c r="S41" s="1" t="str">
        <f>"0136000285"</f>
        <v>0136000285</v>
      </c>
    </row>
    <row r="42" spans="1:19">
      <c r="A42" s="1" t="str">
        <f t="shared" si="13"/>
        <v>20200604</v>
      </c>
      <c r="B42" s="1" t="str">
        <f>"600362"</f>
        <v>600362</v>
      </c>
      <c r="C42" s="1" t="str">
        <f>"江西铜业"</f>
        <v>江西铜业</v>
      </c>
      <c r="D42" s="1" t="str">
        <f>"融资买入"</f>
        <v>融资买入</v>
      </c>
      <c r="E42" s="1">
        <v>12.87</v>
      </c>
      <c r="F42" s="1">
        <v>1000</v>
      </c>
      <c r="G42" s="1">
        <v>12870</v>
      </c>
      <c r="H42" s="1">
        <v>6.44</v>
      </c>
      <c r="I42" s="1">
        <v>5.55</v>
      </c>
      <c r="J42" s="1">
        <v>0</v>
      </c>
      <c r="K42" s="1">
        <v>0.26</v>
      </c>
      <c r="L42" s="1">
        <v>0</v>
      </c>
      <c r="M42" s="1">
        <v>0</v>
      </c>
      <c r="N42" s="1">
        <v>-12876.7</v>
      </c>
      <c r="O42" s="1">
        <v>11340.94</v>
      </c>
      <c r="P42" s="1">
        <v>1000</v>
      </c>
      <c r="Q42" s="1" t="str">
        <f t="shared" si="11"/>
        <v>E021635187</v>
      </c>
      <c r="R42" s="1" t="str">
        <f t="shared" si="0"/>
        <v>人民币</v>
      </c>
      <c r="S42" s="1" t="str">
        <f>"0136000920"</f>
        <v>0136000920</v>
      </c>
    </row>
    <row r="43" spans="1:19">
      <c r="A43" s="1" t="str">
        <f t="shared" si="13"/>
        <v>20200604</v>
      </c>
      <c r="D43" s="1" t="str">
        <f>"融资借入"</f>
        <v>融资借入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12876.7</v>
      </c>
      <c r="O43" s="1">
        <v>24217.64</v>
      </c>
      <c r="P43" s="1">
        <v>0</v>
      </c>
      <c r="R43" s="1" t="str">
        <f t="shared" si="0"/>
        <v>人民币</v>
      </c>
      <c r="S43" s="1" t="str">
        <f>"0136000920"</f>
        <v>0136000920</v>
      </c>
    </row>
    <row r="44" spans="1:19">
      <c r="A44" s="1" t="str">
        <f t="shared" si="13"/>
        <v>20200604</v>
      </c>
      <c r="B44" s="1" t="str">
        <f>"603707"</f>
        <v>603707</v>
      </c>
      <c r="C44" s="1" t="str">
        <f>"健友股份"</f>
        <v>健友股份</v>
      </c>
      <c r="D44" s="1" t="str">
        <f>"融券借入"</f>
        <v>融券借入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 t="str">
        <f>"E021635187"</f>
        <v>E021635187</v>
      </c>
      <c r="R44" s="1" t="str">
        <f t="shared" si="0"/>
        <v>人民币</v>
      </c>
      <c r="S44" s="1" t="str">
        <f>"0136000285"</f>
        <v>0136000285</v>
      </c>
    </row>
    <row r="45" spans="1:19">
      <c r="A45" s="1" t="str">
        <f t="shared" si="13"/>
        <v>20200604</v>
      </c>
      <c r="D45" s="1" t="str">
        <f>"偿还融资利息"</f>
        <v>偿还融资利息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-1.14</v>
      </c>
      <c r="O45" s="1">
        <v>24216.5</v>
      </c>
      <c r="P45" s="1">
        <v>0</v>
      </c>
      <c r="R45" s="1" t="str">
        <f t="shared" si="0"/>
        <v>人民币</v>
      </c>
      <c r="S45" s="1" t="str">
        <f t="shared" ref="S45:S48" si="14">"T4000183"</f>
        <v>T4000183</v>
      </c>
    </row>
    <row r="46" spans="1:19">
      <c r="A46" s="1" t="str">
        <f t="shared" si="13"/>
        <v>20200604</v>
      </c>
      <c r="D46" s="1" t="str">
        <f>"偿还融资负债本金"</f>
        <v>偿还融资负债本金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-4908.36</v>
      </c>
      <c r="O46" s="1">
        <v>19308.14</v>
      </c>
      <c r="P46" s="1">
        <v>0</v>
      </c>
      <c r="R46" s="1" t="str">
        <f t="shared" si="0"/>
        <v>人民币</v>
      </c>
      <c r="S46" s="1" t="str">
        <f t="shared" si="14"/>
        <v>T4000183</v>
      </c>
    </row>
    <row r="47" spans="1:19">
      <c r="A47" s="1" t="str">
        <f t="shared" si="13"/>
        <v>20200604</v>
      </c>
      <c r="D47" s="1" t="str">
        <f>"偿还融资利息"</f>
        <v>偿还融资利息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-39.64</v>
      </c>
      <c r="O47" s="1">
        <v>19268.5</v>
      </c>
      <c r="P47" s="1">
        <v>0</v>
      </c>
      <c r="R47" s="1" t="str">
        <f t="shared" si="0"/>
        <v>人民币</v>
      </c>
      <c r="S47" s="1" t="str">
        <f t="shared" si="14"/>
        <v>T4000183</v>
      </c>
    </row>
    <row r="48" spans="1:19">
      <c r="A48" s="1" t="str">
        <f t="shared" si="13"/>
        <v>20200604</v>
      </c>
      <c r="D48" s="1" t="str">
        <f>"偿还融资负债本金"</f>
        <v>偿还融资负债本金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-6763.82</v>
      </c>
      <c r="O48" s="1">
        <v>12504.68</v>
      </c>
      <c r="P48" s="1">
        <v>0</v>
      </c>
      <c r="R48" s="1" t="str">
        <f t="shared" si="0"/>
        <v>人民币</v>
      </c>
      <c r="S48" s="1" t="str">
        <f t="shared" si="14"/>
        <v>T4000183</v>
      </c>
    </row>
    <row r="49" spans="1:19">
      <c r="A49" s="1" t="str">
        <f t="shared" ref="A49:A54" si="15">"20200605"</f>
        <v>20200605</v>
      </c>
      <c r="B49" s="1" t="str">
        <f>"600362"</f>
        <v>600362</v>
      </c>
      <c r="C49" s="1" t="str">
        <f>"江西铜业"</f>
        <v>江西铜业</v>
      </c>
      <c r="D49" s="1" t="str">
        <f>"卖券还款"</f>
        <v>卖券还款</v>
      </c>
      <c r="E49" s="1">
        <v>12.97</v>
      </c>
      <c r="F49" s="1">
        <v>1000</v>
      </c>
      <c r="G49" s="1">
        <v>12970</v>
      </c>
      <c r="H49" s="1">
        <v>6.49</v>
      </c>
      <c r="I49" s="1">
        <v>5.6</v>
      </c>
      <c r="J49" s="1">
        <v>12.97</v>
      </c>
      <c r="K49" s="1">
        <v>0.26</v>
      </c>
      <c r="L49" s="1">
        <v>0</v>
      </c>
      <c r="M49" s="1">
        <v>0</v>
      </c>
      <c r="N49" s="1">
        <v>12950.28</v>
      </c>
      <c r="O49" s="1">
        <v>25454.96</v>
      </c>
      <c r="P49" s="1">
        <v>0</v>
      </c>
      <c r="Q49" s="1" t="str">
        <f>"E021635187"</f>
        <v>E021635187</v>
      </c>
      <c r="R49" s="1" t="str">
        <f t="shared" si="0"/>
        <v>人民币</v>
      </c>
      <c r="S49" s="1" t="str">
        <f t="shared" ref="S49:S54" si="16">"0136001170"</f>
        <v>0136001170</v>
      </c>
    </row>
    <row r="50" spans="1:19">
      <c r="A50" s="1" t="str">
        <f t="shared" si="15"/>
        <v>20200605</v>
      </c>
      <c r="D50" s="1" t="str">
        <f>"偿还融券费用"</f>
        <v>偿还融券费用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-2.84</v>
      </c>
      <c r="O50" s="1">
        <v>25452.12</v>
      </c>
      <c r="P50" s="1">
        <v>0</v>
      </c>
      <c r="R50" s="1" t="str">
        <f t="shared" si="0"/>
        <v>人民币</v>
      </c>
      <c r="S50" s="1" t="str">
        <f t="shared" si="16"/>
        <v>0136001170</v>
      </c>
    </row>
    <row r="51" spans="1:19">
      <c r="A51" s="1" t="str">
        <f t="shared" si="15"/>
        <v>20200605</v>
      </c>
      <c r="D51" s="1" t="str">
        <f>"偿还融资利息"</f>
        <v>偿还融资利息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-1.26</v>
      </c>
      <c r="O51" s="1">
        <v>25450.86</v>
      </c>
      <c r="P51" s="1">
        <v>0</v>
      </c>
      <c r="R51" s="1" t="str">
        <f t="shared" si="0"/>
        <v>人民币</v>
      </c>
      <c r="S51" s="1" t="str">
        <f t="shared" si="16"/>
        <v>0136001170</v>
      </c>
    </row>
    <row r="52" spans="1:19">
      <c r="A52" s="1" t="str">
        <f t="shared" si="15"/>
        <v>20200605</v>
      </c>
      <c r="D52" s="1" t="str">
        <f>"偿还融资负债本金"</f>
        <v>偿还融资负债本金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-5452.29</v>
      </c>
      <c r="O52" s="1">
        <v>19998.57</v>
      </c>
      <c r="P52" s="1">
        <v>0</v>
      </c>
      <c r="R52" s="1" t="str">
        <f t="shared" si="0"/>
        <v>人民币</v>
      </c>
      <c r="S52" s="1" t="str">
        <f t="shared" si="16"/>
        <v>0136001170</v>
      </c>
    </row>
    <row r="53" spans="1:19">
      <c r="A53" s="1" t="str">
        <f t="shared" si="15"/>
        <v>20200605</v>
      </c>
      <c r="D53" s="1" t="str">
        <f>"偿还融资利息"</f>
        <v>偿还融资利息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-37.37</v>
      </c>
      <c r="O53" s="1">
        <v>19961.2</v>
      </c>
      <c r="P53" s="1">
        <v>0</v>
      </c>
      <c r="R53" s="1" t="str">
        <f t="shared" si="0"/>
        <v>人民币</v>
      </c>
      <c r="S53" s="1" t="str">
        <f t="shared" si="16"/>
        <v>0136001170</v>
      </c>
    </row>
    <row r="54" spans="1:19">
      <c r="A54" s="1" t="str">
        <f t="shared" si="15"/>
        <v>20200605</v>
      </c>
      <c r="D54" s="1" t="str">
        <f>"偿还融资负债本金"</f>
        <v>偿还融资负债本金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-7424.1</v>
      </c>
      <c r="O54" s="1">
        <v>12537.1</v>
      </c>
      <c r="P54" s="1">
        <v>0</v>
      </c>
      <c r="R54" s="1" t="str">
        <f t="shared" si="0"/>
        <v>人民币</v>
      </c>
      <c r="S54" s="1" t="str">
        <f t="shared" si="16"/>
        <v>0136001170</v>
      </c>
    </row>
    <row r="55" spans="1:19">
      <c r="A55" s="1" t="str">
        <f t="shared" ref="A55:A63" si="17">"20200608"</f>
        <v>20200608</v>
      </c>
      <c r="B55" s="1" t="str">
        <f>"000543"</f>
        <v>000543</v>
      </c>
      <c r="C55" s="1" t="str">
        <f>"皖能电力"</f>
        <v>皖能电力</v>
      </c>
      <c r="D55" s="1" t="str">
        <f>"卖券还款"</f>
        <v>卖券还款</v>
      </c>
      <c r="E55" s="1">
        <v>3.98</v>
      </c>
      <c r="F55" s="1">
        <v>3000</v>
      </c>
      <c r="G55" s="1">
        <v>11940</v>
      </c>
      <c r="H55" s="1">
        <v>5.97</v>
      </c>
      <c r="I55" s="1">
        <v>4.91</v>
      </c>
      <c r="J55" s="1">
        <v>11.94</v>
      </c>
      <c r="K55" s="1">
        <v>0</v>
      </c>
      <c r="L55" s="1">
        <v>0</v>
      </c>
      <c r="M55" s="1">
        <v>0</v>
      </c>
      <c r="N55" s="1">
        <v>11922.09</v>
      </c>
      <c r="O55" s="1">
        <v>24459.19</v>
      </c>
      <c r="P55" s="1">
        <v>22000</v>
      </c>
      <c r="Q55" s="1" t="str">
        <f>"0602175409"</f>
        <v>0602175409</v>
      </c>
      <c r="R55" s="1" t="str">
        <f t="shared" si="0"/>
        <v>人民币</v>
      </c>
      <c r="S55" s="1" t="str">
        <f t="shared" ref="S55:S63" si="18">"T4000607"</f>
        <v>T4000607</v>
      </c>
    </row>
    <row r="56" spans="1:19">
      <c r="A56" s="1" t="str">
        <f t="shared" si="17"/>
        <v>20200608</v>
      </c>
      <c r="B56" s="1" t="str">
        <f>"603707"</f>
        <v>603707</v>
      </c>
      <c r="C56" s="1" t="str">
        <f>"健友股份"</f>
        <v>健友股份</v>
      </c>
      <c r="D56" s="1" t="str">
        <f>"买券还券"</f>
        <v>买券还券</v>
      </c>
      <c r="E56" s="1">
        <v>59.935</v>
      </c>
      <c r="F56" s="1">
        <v>200</v>
      </c>
      <c r="G56" s="1">
        <v>11987</v>
      </c>
      <c r="H56" s="1">
        <v>5.99</v>
      </c>
      <c r="I56" s="1">
        <v>5.17</v>
      </c>
      <c r="J56" s="1">
        <v>0</v>
      </c>
      <c r="K56" s="1">
        <v>0.24</v>
      </c>
      <c r="L56" s="1">
        <v>0</v>
      </c>
      <c r="M56" s="1">
        <v>0</v>
      </c>
      <c r="N56" s="1">
        <v>-11993.23</v>
      </c>
      <c r="O56" s="1">
        <v>12465.96</v>
      </c>
      <c r="P56" s="1">
        <v>200</v>
      </c>
      <c r="Q56" s="1" t="str">
        <f>"E021635187"</f>
        <v>E021635187</v>
      </c>
      <c r="R56" s="1" t="str">
        <f t="shared" si="0"/>
        <v>人民币</v>
      </c>
      <c r="S56" s="1" t="str">
        <f>"0136001018"</f>
        <v>0136001018</v>
      </c>
    </row>
    <row r="57" spans="1:18">
      <c r="A57" s="1" t="str">
        <f t="shared" si="17"/>
        <v>20200608</v>
      </c>
      <c r="B57" s="1" t="str">
        <f>"603707"</f>
        <v>603707</v>
      </c>
      <c r="C57" s="1" t="str">
        <f>"健友股份"</f>
        <v>健友股份</v>
      </c>
      <c r="D57" s="1" t="str">
        <f>"偿还融券负债"</f>
        <v>偿还融券负债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 t="str">
        <f>"E021635187"</f>
        <v>E021635187</v>
      </c>
      <c r="R57" s="1" t="str">
        <f t="shared" si="0"/>
        <v>人民币</v>
      </c>
    </row>
    <row r="58" spans="1:18">
      <c r="A58" s="1" t="str">
        <f t="shared" si="17"/>
        <v>20200608</v>
      </c>
      <c r="D58" s="1" t="str">
        <f t="shared" ref="D58:D63" si="19">"偿还融资负债本金"</f>
        <v>偿还融资负债本金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-300</v>
      </c>
      <c r="O58" s="1">
        <v>12165.96</v>
      </c>
      <c r="P58" s="1">
        <v>0</v>
      </c>
      <c r="R58" s="1" t="str">
        <f t="shared" si="0"/>
        <v>人民币</v>
      </c>
    </row>
    <row r="59" spans="1:19">
      <c r="A59" s="1" t="str">
        <f t="shared" si="17"/>
        <v>20200608</v>
      </c>
      <c r="D59" s="1" t="str">
        <f>"偿还融券费用"</f>
        <v>偿还融券费用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-8.49</v>
      </c>
      <c r="O59" s="1">
        <v>12157.47</v>
      </c>
      <c r="P59" s="1">
        <v>0</v>
      </c>
      <c r="R59" s="1" t="str">
        <f t="shared" si="0"/>
        <v>人民币</v>
      </c>
      <c r="S59" s="1" t="str">
        <f t="shared" si="18"/>
        <v>T4000607</v>
      </c>
    </row>
    <row r="60" spans="1:19">
      <c r="A60" s="1" t="str">
        <f t="shared" si="17"/>
        <v>20200608</v>
      </c>
      <c r="D60" s="1" t="str">
        <f>"偿还融资利息"</f>
        <v>偿还融资利息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-2.32</v>
      </c>
      <c r="O60" s="1">
        <v>12155.15</v>
      </c>
      <c r="P60" s="1">
        <v>0</v>
      </c>
      <c r="R60" s="1" t="str">
        <f t="shared" si="0"/>
        <v>人民币</v>
      </c>
      <c r="S60" s="1" t="str">
        <f t="shared" si="18"/>
        <v>T4000607</v>
      </c>
    </row>
    <row r="61" spans="1:19">
      <c r="A61" s="1" t="str">
        <f t="shared" si="17"/>
        <v>20200608</v>
      </c>
      <c r="D61" s="1" t="str">
        <f t="shared" si="19"/>
        <v>偿还融资负债本金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-3331.28</v>
      </c>
      <c r="O61" s="1">
        <v>8823.87</v>
      </c>
      <c r="P61" s="1">
        <v>0</v>
      </c>
      <c r="R61" s="1" t="str">
        <f t="shared" si="0"/>
        <v>人民币</v>
      </c>
      <c r="S61" s="1" t="str">
        <f t="shared" si="18"/>
        <v>T4000607</v>
      </c>
    </row>
    <row r="62" spans="1:19">
      <c r="A62" s="1" t="str">
        <f t="shared" si="17"/>
        <v>20200608</v>
      </c>
      <c r="D62" s="1" t="str">
        <f>"偿还融资利息"</f>
        <v>偿还融资利息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-50.04</v>
      </c>
      <c r="O62" s="1">
        <v>8773.83</v>
      </c>
      <c r="P62" s="1">
        <v>0</v>
      </c>
      <c r="R62" s="1" t="str">
        <f t="shared" si="0"/>
        <v>人民币</v>
      </c>
      <c r="S62" s="1" t="str">
        <f t="shared" si="18"/>
        <v>T4000607</v>
      </c>
    </row>
    <row r="63" spans="1:19">
      <c r="A63" s="1" t="str">
        <f t="shared" si="17"/>
        <v>20200608</v>
      </c>
      <c r="D63" s="1" t="str">
        <f t="shared" si="19"/>
        <v>偿还融资负债本金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-8500.11</v>
      </c>
      <c r="O63" s="1">
        <v>273.72</v>
      </c>
      <c r="P63" s="1">
        <v>0</v>
      </c>
      <c r="R63" s="1" t="str">
        <f t="shared" si="0"/>
        <v>人民币</v>
      </c>
      <c r="S63" s="1" t="str">
        <f t="shared" si="18"/>
        <v>T4000607</v>
      </c>
    </row>
    <row r="64" spans="1:18">
      <c r="A64" s="1" t="str">
        <f t="shared" ref="A64:A66" si="20">"20200609"</f>
        <v>20200609</v>
      </c>
      <c r="B64" s="1" t="str">
        <f>"600028"</f>
        <v>600028</v>
      </c>
      <c r="C64" s="1" t="str">
        <f>"中国石化"</f>
        <v>中国石化</v>
      </c>
      <c r="D64" s="1" t="str">
        <f>"红利入账"</f>
        <v>红利入账</v>
      </c>
      <c r="E64" s="1">
        <v>0</v>
      </c>
      <c r="F64" s="1">
        <v>7700</v>
      </c>
      <c r="G64" s="1">
        <v>1463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1463</v>
      </c>
      <c r="O64" s="1">
        <v>1736.72</v>
      </c>
      <c r="P64" s="1">
        <v>0</v>
      </c>
      <c r="Q64" s="1" t="str">
        <f>"E021635187"</f>
        <v>E021635187</v>
      </c>
      <c r="R64" s="1" t="str">
        <f t="shared" si="0"/>
        <v>人民币</v>
      </c>
    </row>
    <row r="65" spans="1:19">
      <c r="A65" s="1" t="str">
        <f t="shared" si="20"/>
        <v>20200609</v>
      </c>
      <c r="B65" s="1" t="str">
        <f>"002183"</f>
        <v>002183</v>
      </c>
      <c r="C65" s="1" t="str">
        <f>"怡 亚 通"</f>
        <v>怡 亚 通</v>
      </c>
      <c r="D65" s="1" t="str">
        <f t="shared" ref="D65:D68" si="21">"融资买入"</f>
        <v>融资买入</v>
      </c>
      <c r="E65" s="1">
        <v>4.95</v>
      </c>
      <c r="F65" s="1">
        <v>2500</v>
      </c>
      <c r="G65" s="1">
        <v>12375</v>
      </c>
      <c r="H65" s="1">
        <v>6.19</v>
      </c>
      <c r="I65" s="1">
        <v>5.09</v>
      </c>
      <c r="J65" s="1">
        <v>0</v>
      </c>
      <c r="K65" s="1">
        <v>0</v>
      </c>
      <c r="L65" s="1">
        <v>0</v>
      </c>
      <c r="M65" s="1">
        <v>0</v>
      </c>
      <c r="N65" s="1">
        <v>-12381.19</v>
      </c>
      <c r="O65" s="1">
        <v>-10644.47</v>
      </c>
      <c r="P65" s="1">
        <v>15000</v>
      </c>
      <c r="Q65" s="1" t="str">
        <f>"0602175409"</f>
        <v>0602175409</v>
      </c>
      <c r="R65" s="1" t="str">
        <f t="shared" si="0"/>
        <v>人民币</v>
      </c>
      <c r="S65" s="1" t="str">
        <f>"T4000808"</f>
        <v>T4000808</v>
      </c>
    </row>
    <row r="66" spans="1:19">
      <c r="A66" s="1" t="str">
        <f t="shared" si="20"/>
        <v>20200609</v>
      </c>
      <c r="D66" s="1" t="str">
        <f t="shared" ref="D66:D70" si="22">"融资借入"</f>
        <v>融资借入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12381.19</v>
      </c>
      <c r="O66" s="1">
        <v>1736.72</v>
      </c>
      <c r="P66" s="1">
        <v>0</v>
      </c>
      <c r="R66" s="1" t="str">
        <f t="shared" ref="R66:R122" si="23">"人民币"</f>
        <v>人民币</v>
      </c>
      <c r="S66" s="1" t="str">
        <f>"T4000808"</f>
        <v>T4000808</v>
      </c>
    </row>
    <row r="67" spans="1:19">
      <c r="A67" s="1" t="str">
        <f t="shared" ref="A67:A70" si="24">"20200610"</f>
        <v>20200610</v>
      </c>
      <c r="B67" s="1" t="str">
        <f>"600028"</f>
        <v>600028</v>
      </c>
      <c r="C67" s="1" t="str">
        <f>"XD中国石"</f>
        <v>XD中国石</v>
      </c>
      <c r="D67" s="1" t="str">
        <f t="shared" si="21"/>
        <v>融资买入</v>
      </c>
      <c r="E67" s="1">
        <v>4.09</v>
      </c>
      <c r="F67" s="1">
        <v>8000</v>
      </c>
      <c r="G67" s="1">
        <v>32720</v>
      </c>
      <c r="H67" s="1">
        <v>16.36</v>
      </c>
      <c r="I67" s="1">
        <v>14.12</v>
      </c>
      <c r="J67" s="1">
        <v>0</v>
      </c>
      <c r="K67" s="1">
        <v>0.65</v>
      </c>
      <c r="L67" s="1">
        <v>0</v>
      </c>
      <c r="M67" s="1">
        <v>0</v>
      </c>
      <c r="N67" s="1">
        <v>-32737.01</v>
      </c>
      <c r="O67" s="1">
        <v>-31000.29</v>
      </c>
      <c r="P67" s="1">
        <v>15700</v>
      </c>
      <c r="Q67" s="1" t="str">
        <f>"E021635187"</f>
        <v>E021635187</v>
      </c>
      <c r="R67" s="1" t="str">
        <f t="shared" si="23"/>
        <v>人民币</v>
      </c>
      <c r="S67" s="1" t="str">
        <f>"0136000329"</f>
        <v>0136000329</v>
      </c>
    </row>
    <row r="68" spans="1:19">
      <c r="A68" s="1" t="str">
        <f t="shared" si="24"/>
        <v>20200610</v>
      </c>
      <c r="B68" s="1" t="str">
        <f>"002183"</f>
        <v>002183</v>
      </c>
      <c r="C68" s="1" t="str">
        <f>"怡 亚 通"</f>
        <v>怡 亚 通</v>
      </c>
      <c r="D68" s="1" t="str">
        <f t="shared" si="21"/>
        <v>融资买入</v>
      </c>
      <c r="E68" s="1">
        <v>4.79</v>
      </c>
      <c r="F68" s="1">
        <v>2500</v>
      </c>
      <c r="G68" s="1">
        <v>11975</v>
      </c>
      <c r="H68" s="1">
        <v>5.99</v>
      </c>
      <c r="I68" s="1">
        <v>4.92</v>
      </c>
      <c r="J68" s="1">
        <v>0</v>
      </c>
      <c r="K68" s="1">
        <v>0</v>
      </c>
      <c r="L68" s="1">
        <v>0</v>
      </c>
      <c r="M68" s="1">
        <v>0</v>
      </c>
      <c r="N68" s="1">
        <v>-11980.99</v>
      </c>
      <c r="O68" s="1">
        <v>-42981.28</v>
      </c>
      <c r="P68" s="1">
        <v>17500</v>
      </c>
      <c r="Q68" s="1" t="str">
        <f>"0602175409"</f>
        <v>0602175409</v>
      </c>
      <c r="R68" s="1" t="str">
        <f t="shared" si="23"/>
        <v>人民币</v>
      </c>
      <c r="S68" s="1" t="str">
        <f>"T4000449"</f>
        <v>T4000449</v>
      </c>
    </row>
    <row r="69" spans="1:19">
      <c r="A69" s="1" t="str">
        <f t="shared" si="24"/>
        <v>20200610</v>
      </c>
      <c r="D69" s="1" t="str">
        <f t="shared" si="22"/>
        <v>融资借入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32737.01</v>
      </c>
      <c r="O69" s="1">
        <v>-10244.27</v>
      </c>
      <c r="P69" s="1">
        <v>0</v>
      </c>
      <c r="R69" s="1" t="str">
        <f t="shared" si="23"/>
        <v>人民币</v>
      </c>
      <c r="S69" s="1" t="str">
        <f>"0136000329"</f>
        <v>0136000329</v>
      </c>
    </row>
    <row r="70" spans="1:19">
      <c r="A70" s="1" t="str">
        <f t="shared" si="24"/>
        <v>20200610</v>
      </c>
      <c r="D70" s="1" t="str">
        <f t="shared" si="22"/>
        <v>融资借入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11980.99</v>
      </c>
      <c r="O70" s="1">
        <v>1736.72</v>
      </c>
      <c r="P70" s="1">
        <v>0</v>
      </c>
      <c r="R70" s="1" t="str">
        <f t="shared" si="23"/>
        <v>人民币</v>
      </c>
      <c r="S70" s="1" t="str">
        <f>"T4000449"</f>
        <v>T4000449</v>
      </c>
    </row>
    <row r="71" spans="1:19">
      <c r="A71" s="1" t="str">
        <f>"20200612"</f>
        <v>20200612</v>
      </c>
      <c r="B71" s="1" t="str">
        <f>"000543"</f>
        <v>000543</v>
      </c>
      <c r="C71" s="1" t="str">
        <f>"皖能电力"</f>
        <v>皖能电力</v>
      </c>
      <c r="D71" s="1" t="str">
        <f>"融资买入"</f>
        <v>融资买入</v>
      </c>
      <c r="E71" s="1">
        <v>3.92</v>
      </c>
      <c r="F71" s="1">
        <v>3000</v>
      </c>
      <c r="G71" s="1">
        <v>11760</v>
      </c>
      <c r="H71" s="1">
        <v>5.88</v>
      </c>
      <c r="I71" s="1">
        <v>4.83</v>
      </c>
      <c r="J71" s="1">
        <v>0</v>
      </c>
      <c r="K71" s="1">
        <v>0</v>
      </c>
      <c r="L71" s="1">
        <v>0</v>
      </c>
      <c r="M71" s="1">
        <v>0</v>
      </c>
      <c r="N71" s="1">
        <v>-11765.88</v>
      </c>
      <c r="O71" s="1">
        <v>-10029.16</v>
      </c>
      <c r="P71" s="1">
        <v>25000</v>
      </c>
      <c r="Q71" s="1" t="str">
        <f>"0602175409"</f>
        <v>0602175409</v>
      </c>
      <c r="R71" s="1" t="str">
        <f t="shared" si="23"/>
        <v>人民币</v>
      </c>
      <c r="S71" s="1" t="str">
        <f>"T4000071"</f>
        <v>T4000071</v>
      </c>
    </row>
    <row r="72" spans="1:19">
      <c r="A72" s="1" t="str">
        <f>"20200612"</f>
        <v>20200612</v>
      </c>
      <c r="D72" s="1" t="str">
        <f>"融资借入"</f>
        <v>融资借入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11765.88</v>
      </c>
      <c r="O72" s="1">
        <v>1736.72</v>
      </c>
      <c r="P72" s="1">
        <v>0</v>
      </c>
      <c r="R72" s="1" t="str">
        <f t="shared" si="23"/>
        <v>人民币</v>
      </c>
      <c r="S72" s="1" t="str">
        <f>"T4000071"</f>
        <v>T4000071</v>
      </c>
    </row>
    <row r="73" spans="1:19">
      <c r="A73" s="1" t="str">
        <f t="shared" ref="A73:A79" si="25">"20200616"</f>
        <v>20200616</v>
      </c>
      <c r="B73" s="1" t="str">
        <f>"600362"</f>
        <v>600362</v>
      </c>
      <c r="C73" s="1" t="str">
        <f>"江西铜业"</f>
        <v>江西铜业</v>
      </c>
      <c r="D73" s="1" t="str">
        <f>"融资买入"</f>
        <v>融资买入</v>
      </c>
      <c r="E73" s="1">
        <v>13.07</v>
      </c>
      <c r="F73" s="1">
        <v>1000</v>
      </c>
      <c r="G73" s="1">
        <v>13070</v>
      </c>
      <c r="H73" s="1">
        <v>6.54</v>
      </c>
      <c r="I73" s="1">
        <v>5.64</v>
      </c>
      <c r="J73" s="1">
        <v>0</v>
      </c>
      <c r="K73" s="1">
        <v>0.26</v>
      </c>
      <c r="L73" s="1">
        <v>0</v>
      </c>
      <c r="M73" s="1">
        <v>0</v>
      </c>
      <c r="N73" s="1">
        <v>-13076.8</v>
      </c>
      <c r="O73" s="1">
        <v>-11340.08</v>
      </c>
      <c r="P73" s="1">
        <v>1000</v>
      </c>
      <c r="Q73" s="1" t="str">
        <f>"E021635187"</f>
        <v>E021635187</v>
      </c>
      <c r="R73" s="1" t="str">
        <f t="shared" si="23"/>
        <v>人民币</v>
      </c>
      <c r="S73" s="1" t="str">
        <f>"0136000622"</f>
        <v>0136000622</v>
      </c>
    </row>
    <row r="74" spans="1:19">
      <c r="A74" s="1" t="str">
        <f t="shared" si="25"/>
        <v>20200616</v>
      </c>
      <c r="B74" s="1" t="str">
        <f>"002183"</f>
        <v>002183</v>
      </c>
      <c r="C74" s="1" t="str">
        <f>"怡 亚 通"</f>
        <v>怡 亚 通</v>
      </c>
      <c r="D74" s="1" t="str">
        <f>"卖券还款"</f>
        <v>卖券还款</v>
      </c>
      <c r="E74" s="1">
        <v>5.02</v>
      </c>
      <c r="F74" s="1">
        <v>2500</v>
      </c>
      <c r="G74" s="1">
        <v>12550</v>
      </c>
      <c r="H74" s="1">
        <v>6.28</v>
      </c>
      <c r="I74" s="1">
        <v>5.17</v>
      </c>
      <c r="J74" s="1">
        <v>12.55</v>
      </c>
      <c r="K74" s="1">
        <v>0</v>
      </c>
      <c r="L74" s="1">
        <v>0</v>
      </c>
      <c r="M74" s="1">
        <v>0</v>
      </c>
      <c r="N74" s="1">
        <v>12531.17</v>
      </c>
      <c r="O74" s="1">
        <v>1191.09</v>
      </c>
      <c r="P74" s="1">
        <v>15000</v>
      </c>
      <c r="Q74" s="1" t="str">
        <f>"0602175409"</f>
        <v>0602175409</v>
      </c>
      <c r="R74" s="1" t="str">
        <f t="shared" si="23"/>
        <v>人民币</v>
      </c>
      <c r="S74" s="1" t="str">
        <f t="shared" ref="S74:S79" si="26">"T4000720"</f>
        <v>T4000720</v>
      </c>
    </row>
    <row r="75" spans="1:19">
      <c r="A75" s="1" t="str">
        <f t="shared" si="25"/>
        <v>20200616</v>
      </c>
      <c r="D75" s="1" t="str">
        <f>"融资借入"</f>
        <v>融资借入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13076.8</v>
      </c>
      <c r="O75" s="1">
        <v>14267.89</v>
      </c>
      <c r="P75" s="1">
        <v>0</v>
      </c>
      <c r="R75" s="1" t="str">
        <f t="shared" si="23"/>
        <v>人民币</v>
      </c>
      <c r="S75" s="1" t="str">
        <f>"0136000622"</f>
        <v>0136000622</v>
      </c>
    </row>
    <row r="76" spans="1:19">
      <c r="A76" s="1" t="str">
        <f t="shared" si="25"/>
        <v>20200616</v>
      </c>
      <c r="D76" s="1" t="str">
        <f>"偿还融资利息"</f>
        <v>偿还融资利息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-5.91</v>
      </c>
      <c r="O76" s="1">
        <v>14261.98</v>
      </c>
      <c r="P76" s="1">
        <v>0</v>
      </c>
      <c r="R76" s="1" t="str">
        <f t="shared" si="23"/>
        <v>人民币</v>
      </c>
      <c r="S76" s="1" t="str">
        <f t="shared" si="26"/>
        <v>T4000720</v>
      </c>
    </row>
    <row r="77" spans="1:19">
      <c r="A77" s="1" t="str">
        <f t="shared" si="25"/>
        <v>20200616</v>
      </c>
      <c r="D77" s="1" t="str">
        <f>"偿还融资负债本金"</f>
        <v>偿还融资负债本金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-3175.88</v>
      </c>
      <c r="O77" s="1">
        <v>11086.1</v>
      </c>
      <c r="P77" s="1">
        <v>0</v>
      </c>
      <c r="R77" s="1" t="str">
        <f t="shared" si="23"/>
        <v>人民币</v>
      </c>
      <c r="S77" s="1" t="str">
        <f t="shared" si="26"/>
        <v>T4000720</v>
      </c>
    </row>
    <row r="78" spans="1:19">
      <c r="A78" s="1" t="str">
        <f t="shared" si="25"/>
        <v>20200616</v>
      </c>
      <c r="D78" s="1" t="str">
        <f>"偿还融资利息"</f>
        <v>偿还融资利息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-70.98</v>
      </c>
      <c r="O78" s="1">
        <v>11015.12</v>
      </c>
      <c r="P78" s="1">
        <v>0</v>
      </c>
      <c r="R78" s="1" t="str">
        <f t="shared" si="23"/>
        <v>人民币</v>
      </c>
      <c r="S78" s="1" t="str">
        <f t="shared" si="26"/>
        <v>T4000720</v>
      </c>
    </row>
    <row r="79" spans="1:19">
      <c r="A79" s="1" t="str">
        <f t="shared" si="25"/>
        <v>20200616</v>
      </c>
      <c r="D79" s="1" t="str">
        <f>"偿还融资负债本金"</f>
        <v>偿还融资负债本金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-9247.03</v>
      </c>
      <c r="O79" s="1">
        <v>1768.09</v>
      </c>
      <c r="P79" s="1">
        <v>0</v>
      </c>
      <c r="R79" s="1" t="str">
        <f t="shared" si="23"/>
        <v>人民币</v>
      </c>
      <c r="S79" s="1" t="str">
        <f t="shared" si="26"/>
        <v>T4000720</v>
      </c>
    </row>
    <row r="80" spans="1:19">
      <c r="A80" s="1" t="str">
        <f t="shared" ref="A80:A86" si="27">"20200617"</f>
        <v>20200617</v>
      </c>
      <c r="B80" s="1" t="str">
        <f>"002183"</f>
        <v>002183</v>
      </c>
      <c r="C80" s="1" t="str">
        <f>"怡 亚 通"</f>
        <v>怡 亚 通</v>
      </c>
      <c r="D80" s="1" t="str">
        <f>"卖券还款"</f>
        <v>卖券还款</v>
      </c>
      <c r="E80" s="1">
        <v>5.25</v>
      </c>
      <c r="F80" s="1">
        <v>2500</v>
      </c>
      <c r="G80" s="1">
        <v>13125</v>
      </c>
      <c r="H80" s="1">
        <v>6.56</v>
      </c>
      <c r="I80" s="1">
        <v>5.4</v>
      </c>
      <c r="J80" s="1">
        <v>13.13</v>
      </c>
      <c r="K80" s="1">
        <v>0</v>
      </c>
      <c r="L80" s="1">
        <v>0</v>
      </c>
      <c r="M80" s="1">
        <v>0</v>
      </c>
      <c r="N80" s="1">
        <v>13105.31</v>
      </c>
      <c r="O80" s="1">
        <v>14873.4</v>
      </c>
      <c r="P80" s="1">
        <v>12500</v>
      </c>
      <c r="Q80" s="1" t="str">
        <f>"0602175409"</f>
        <v>0602175409</v>
      </c>
      <c r="R80" s="1" t="str">
        <f t="shared" si="23"/>
        <v>人民币</v>
      </c>
      <c r="S80" s="1" t="str">
        <f t="shared" ref="S80:S86" si="28">"T4000646"</f>
        <v>T4000646</v>
      </c>
    </row>
    <row r="81" spans="1:19">
      <c r="A81" s="1" t="str">
        <f t="shared" si="27"/>
        <v>20200617</v>
      </c>
      <c r="B81" s="1" t="str">
        <f>"600362"</f>
        <v>600362</v>
      </c>
      <c r="C81" s="1" t="str">
        <f>"江西铜业"</f>
        <v>江西铜业</v>
      </c>
      <c r="D81" s="1" t="str">
        <f>"融资买入"</f>
        <v>融资买入</v>
      </c>
      <c r="E81" s="1">
        <v>13.04</v>
      </c>
      <c r="F81" s="1">
        <v>1000</v>
      </c>
      <c r="G81" s="1">
        <v>13040</v>
      </c>
      <c r="H81" s="1">
        <v>6.52</v>
      </c>
      <c r="I81" s="1">
        <v>5.62</v>
      </c>
      <c r="J81" s="1">
        <v>0</v>
      </c>
      <c r="K81" s="1">
        <v>0.26</v>
      </c>
      <c r="L81" s="1">
        <v>0</v>
      </c>
      <c r="M81" s="1">
        <v>0</v>
      </c>
      <c r="N81" s="1">
        <v>-13046.78</v>
      </c>
      <c r="O81" s="1">
        <v>1826.62</v>
      </c>
      <c r="P81" s="1">
        <v>2000</v>
      </c>
      <c r="Q81" s="1" t="str">
        <f>"E021635187"</f>
        <v>E021635187</v>
      </c>
      <c r="R81" s="1" t="str">
        <f t="shared" si="23"/>
        <v>人民币</v>
      </c>
      <c r="S81" s="1" t="str">
        <f>"0136000772"</f>
        <v>0136000772</v>
      </c>
    </row>
    <row r="82" spans="1:19">
      <c r="A82" s="1" t="str">
        <f t="shared" si="27"/>
        <v>20200617</v>
      </c>
      <c r="D82" s="1" t="str">
        <f>"融资借入"</f>
        <v>融资借入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13046.78</v>
      </c>
      <c r="O82" s="1">
        <v>14873.4</v>
      </c>
      <c r="P82" s="1">
        <v>0</v>
      </c>
      <c r="R82" s="1" t="str">
        <f t="shared" si="23"/>
        <v>人民币</v>
      </c>
      <c r="S82" s="1" t="str">
        <f>"0136000772"</f>
        <v>0136000772</v>
      </c>
    </row>
    <row r="83" spans="1:19">
      <c r="A83" s="1" t="str">
        <f t="shared" si="27"/>
        <v>20200617</v>
      </c>
      <c r="D83" s="1" t="str">
        <f>"偿还融资利息"</f>
        <v>偿还融资利息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-0.58</v>
      </c>
      <c r="O83" s="1">
        <v>14872.82</v>
      </c>
      <c r="P83" s="1">
        <v>0</v>
      </c>
      <c r="R83" s="1" t="str">
        <f t="shared" si="23"/>
        <v>人民币</v>
      </c>
      <c r="S83" s="1" t="str">
        <f t="shared" si="28"/>
        <v>T4000646</v>
      </c>
    </row>
    <row r="84" spans="1:19">
      <c r="A84" s="1" t="str">
        <f t="shared" si="27"/>
        <v>20200617</v>
      </c>
      <c r="D84" s="1" t="str">
        <f>"偿还融资负债本金"</f>
        <v>偿还融资负债本金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-2518.85</v>
      </c>
      <c r="O84" s="1">
        <v>12353.97</v>
      </c>
      <c r="P84" s="1">
        <v>0</v>
      </c>
      <c r="R84" s="1" t="str">
        <f t="shared" si="23"/>
        <v>人民币</v>
      </c>
      <c r="S84" s="1" t="str">
        <f t="shared" si="28"/>
        <v>T4000646</v>
      </c>
    </row>
    <row r="85" spans="1:19">
      <c r="A85" s="1" t="str">
        <f t="shared" si="27"/>
        <v>20200617</v>
      </c>
      <c r="D85" s="1" t="str">
        <f>"偿还融资利息"</f>
        <v>偿还融资利息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-80.77</v>
      </c>
      <c r="O85" s="1">
        <v>12273.2</v>
      </c>
      <c r="P85" s="1">
        <v>0</v>
      </c>
      <c r="R85" s="1" t="str">
        <f t="shared" si="23"/>
        <v>人民币</v>
      </c>
      <c r="S85" s="1" t="str">
        <f t="shared" si="28"/>
        <v>T4000646</v>
      </c>
    </row>
    <row r="86" spans="1:19">
      <c r="A86" s="1" t="str">
        <f t="shared" si="27"/>
        <v>20200617</v>
      </c>
      <c r="D86" s="1" t="str">
        <f>"偿还融资负债本金"</f>
        <v>偿还融资负债本金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-10472.29</v>
      </c>
      <c r="O86" s="1">
        <v>1800.91</v>
      </c>
      <c r="P86" s="1">
        <v>0</v>
      </c>
      <c r="R86" s="1" t="str">
        <f t="shared" si="23"/>
        <v>人民币</v>
      </c>
      <c r="S86" s="1" t="str">
        <f t="shared" si="28"/>
        <v>T4000646</v>
      </c>
    </row>
    <row r="87" spans="1:18">
      <c r="A87" s="1" t="str">
        <f t="shared" ref="A87:A94" si="29">"20200618"</f>
        <v>20200618</v>
      </c>
      <c r="D87" s="1" t="str">
        <f>"证券转银行"</f>
        <v>证券转银行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-1800</v>
      </c>
      <c r="O87" s="1">
        <v>0.91</v>
      </c>
      <c r="P87" s="1">
        <v>0</v>
      </c>
      <c r="R87" s="1" t="str">
        <f t="shared" si="23"/>
        <v>人民币</v>
      </c>
    </row>
    <row r="88" spans="1:19">
      <c r="A88" s="1" t="str">
        <f t="shared" si="29"/>
        <v>20200618</v>
      </c>
      <c r="B88" s="1" t="str">
        <f>"600362"</f>
        <v>600362</v>
      </c>
      <c r="C88" s="1" t="str">
        <f>"江西铜业"</f>
        <v>江西铜业</v>
      </c>
      <c r="D88" s="1" t="str">
        <f>"卖券还款"</f>
        <v>卖券还款</v>
      </c>
      <c r="E88" s="1">
        <v>13.16</v>
      </c>
      <c r="F88" s="1">
        <v>2000</v>
      </c>
      <c r="G88" s="1">
        <v>26320</v>
      </c>
      <c r="H88" s="1">
        <v>13.16</v>
      </c>
      <c r="I88" s="1">
        <v>11.35</v>
      </c>
      <c r="J88" s="1">
        <v>26.32</v>
      </c>
      <c r="K88" s="1">
        <v>0.53</v>
      </c>
      <c r="L88" s="1">
        <v>0</v>
      </c>
      <c r="M88" s="1">
        <v>0</v>
      </c>
      <c r="N88" s="1">
        <v>26279.99</v>
      </c>
      <c r="O88" s="1">
        <v>26280.9</v>
      </c>
      <c r="P88" s="1">
        <v>0</v>
      </c>
      <c r="Q88" s="1" t="str">
        <f>"E021635187"</f>
        <v>E021635187</v>
      </c>
      <c r="R88" s="1" t="str">
        <f t="shared" si="23"/>
        <v>人民币</v>
      </c>
      <c r="S88" s="1" t="str">
        <f t="shared" ref="S88:S94" si="30">"0136000079"</f>
        <v>0136000079</v>
      </c>
    </row>
    <row r="89" spans="1:19">
      <c r="A89" s="1" t="str">
        <f t="shared" si="29"/>
        <v>20200618</v>
      </c>
      <c r="D89" s="1" t="str">
        <f t="shared" ref="D89:D93" si="31">"偿还融资利息"</f>
        <v>偿还融资利息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-0.56</v>
      </c>
      <c r="O89" s="1">
        <v>26280.34</v>
      </c>
      <c r="P89" s="1">
        <v>0</v>
      </c>
      <c r="R89" s="1" t="str">
        <f t="shared" si="23"/>
        <v>人民币</v>
      </c>
      <c r="S89" s="1" t="str">
        <f t="shared" si="30"/>
        <v>0136000079</v>
      </c>
    </row>
    <row r="90" spans="1:19">
      <c r="A90" s="1" t="str">
        <f t="shared" si="29"/>
        <v>20200618</v>
      </c>
      <c r="D90" s="1" t="str">
        <f t="shared" ref="D90:D94" si="32">"偿还融资负债本金"</f>
        <v>偿还融资负债本金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-2434.42</v>
      </c>
      <c r="O90" s="1">
        <v>23845.92</v>
      </c>
      <c r="P90" s="1">
        <v>0</v>
      </c>
      <c r="R90" s="1" t="str">
        <f t="shared" si="23"/>
        <v>人民币</v>
      </c>
      <c r="S90" s="1" t="str">
        <f t="shared" si="30"/>
        <v>0136000079</v>
      </c>
    </row>
    <row r="91" spans="1:19">
      <c r="A91" s="1" t="str">
        <f t="shared" si="29"/>
        <v>20200618</v>
      </c>
      <c r="D91" s="1" t="str">
        <f t="shared" si="31"/>
        <v>偿还融资利息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-75.28</v>
      </c>
      <c r="O91" s="1">
        <v>23770.64</v>
      </c>
      <c r="P91" s="1">
        <v>0</v>
      </c>
      <c r="R91" s="1" t="str">
        <f t="shared" si="23"/>
        <v>人民币</v>
      </c>
      <c r="S91" s="1" t="str">
        <f t="shared" si="30"/>
        <v>0136000079</v>
      </c>
    </row>
    <row r="92" spans="1:19">
      <c r="A92" s="1" t="str">
        <f t="shared" si="29"/>
        <v>20200618</v>
      </c>
      <c r="D92" s="1" t="str">
        <f t="shared" si="32"/>
        <v>偿还融资负债本金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-11585.79</v>
      </c>
      <c r="O92" s="1">
        <v>12184.85</v>
      </c>
      <c r="P92" s="1">
        <v>0</v>
      </c>
      <c r="R92" s="1" t="str">
        <f t="shared" si="23"/>
        <v>人民币</v>
      </c>
      <c r="S92" s="1" t="str">
        <f t="shared" si="30"/>
        <v>0136000079</v>
      </c>
    </row>
    <row r="93" spans="1:19">
      <c r="A93" s="1" t="str">
        <f t="shared" si="29"/>
        <v>20200618</v>
      </c>
      <c r="D93" s="1" t="str">
        <f t="shared" si="31"/>
        <v>偿还融资利息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-61.74</v>
      </c>
      <c r="O93" s="1">
        <v>12123.11</v>
      </c>
      <c r="P93" s="1">
        <v>0</v>
      </c>
      <c r="R93" s="1" t="str">
        <f t="shared" si="23"/>
        <v>人民币</v>
      </c>
      <c r="S93" s="1" t="str">
        <f t="shared" si="30"/>
        <v>0136000079</v>
      </c>
    </row>
    <row r="94" spans="1:19">
      <c r="A94" s="1" t="str">
        <f t="shared" si="29"/>
        <v>20200618</v>
      </c>
      <c r="D94" s="1" t="str">
        <f t="shared" si="32"/>
        <v>偿还融资负债本金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-12056.4</v>
      </c>
      <c r="O94" s="1">
        <v>66.71</v>
      </c>
      <c r="P94" s="1">
        <v>0</v>
      </c>
      <c r="R94" s="1" t="str">
        <f t="shared" si="23"/>
        <v>人民币</v>
      </c>
      <c r="S94" s="1" t="str">
        <f t="shared" si="30"/>
        <v>0136000079</v>
      </c>
    </row>
    <row r="95" spans="1:18">
      <c r="A95" s="1" t="str">
        <f t="shared" ref="A95:A100" si="33">"20200619"</f>
        <v>20200619</v>
      </c>
      <c r="D95" s="1" t="str">
        <f>"利息归本"</f>
        <v>利息归本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2.64</v>
      </c>
      <c r="O95" s="1">
        <v>69.35</v>
      </c>
      <c r="P95" s="1">
        <v>0</v>
      </c>
      <c r="R95" s="1" t="str">
        <f t="shared" si="23"/>
        <v>人民币</v>
      </c>
    </row>
    <row r="96" spans="1:19">
      <c r="A96" s="1" t="str">
        <f t="shared" si="33"/>
        <v>20200619</v>
      </c>
      <c r="B96" s="1" t="str">
        <f>"600362"</f>
        <v>600362</v>
      </c>
      <c r="C96" s="1" t="str">
        <f>"江西铜业"</f>
        <v>江西铜业</v>
      </c>
      <c r="D96" s="1" t="str">
        <f>"融资买入"</f>
        <v>融资买入</v>
      </c>
      <c r="E96" s="1">
        <v>13.28</v>
      </c>
      <c r="F96" s="1">
        <v>1000</v>
      </c>
      <c r="G96" s="1">
        <v>13280</v>
      </c>
      <c r="H96" s="1">
        <v>6.64</v>
      </c>
      <c r="I96" s="1">
        <v>5.72</v>
      </c>
      <c r="J96" s="1">
        <v>0</v>
      </c>
      <c r="K96" s="1">
        <v>0.27</v>
      </c>
      <c r="L96" s="1">
        <v>0</v>
      </c>
      <c r="M96" s="1">
        <v>0</v>
      </c>
      <c r="N96" s="1">
        <v>-13286.91</v>
      </c>
      <c r="O96" s="1">
        <v>-13217.56</v>
      </c>
      <c r="P96" s="1">
        <v>1000</v>
      </c>
      <c r="Q96" s="1" t="str">
        <f>"E021635187"</f>
        <v>E021635187</v>
      </c>
      <c r="R96" s="1" t="str">
        <f t="shared" si="23"/>
        <v>人民币</v>
      </c>
      <c r="S96" s="1" t="str">
        <f>"0136000766"</f>
        <v>0136000766</v>
      </c>
    </row>
    <row r="97" spans="1:19">
      <c r="A97" s="1" t="str">
        <f t="shared" si="33"/>
        <v>20200619</v>
      </c>
      <c r="D97" s="1" t="str">
        <f>"融资借入"</f>
        <v>融资借入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13286.91</v>
      </c>
      <c r="O97" s="1">
        <v>69.35</v>
      </c>
      <c r="P97" s="1">
        <v>0</v>
      </c>
      <c r="R97" s="1" t="str">
        <f t="shared" si="23"/>
        <v>人民币</v>
      </c>
      <c r="S97" s="1" t="str">
        <f>"0136000766"</f>
        <v>0136000766</v>
      </c>
    </row>
    <row r="98" spans="1:18">
      <c r="A98" s="1" t="str">
        <f t="shared" si="33"/>
        <v>20200619</v>
      </c>
      <c r="D98" s="1" t="str">
        <f t="shared" ref="D98:D100" si="34">"偿还融资利息"</f>
        <v>偿还融资利息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-0.28</v>
      </c>
      <c r="O98" s="1">
        <v>69.07</v>
      </c>
      <c r="P98" s="1">
        <v>0</v>
      </c>
      <c r="R98" s="1" t="str">
        <f t="shared" si="23"/>
        <v>人民币</v>
      </c>
    </row>
    <row r="99" spans="1:18">
      <c r="A99" s="1" t="str">
        <f t="shared" si="33"/>
        <v>20200619</v>
      </c>
      <c r="D99" s="1" t="str">
        <f t="shared" si="34"/>
        <v>偿还融资利息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-47.82</v>
      </c>
      <c r="O99" s="1">
        <v>21.25</v>
      </c>
      <c r="P99" s="1">
        <v>0</v>
      </c>
      <c r="R99" s="1" t="str">
        <f t="shared" si="23"/>
        <v>人民币</v>
      </c>
    </row>
    <row r="100" spans="1:18">
      <c r="A100" s="1" t="str">
        <f t="shared" si="33"/>
        <v>20200619</v>
      </c>
      <c r="D100" s="1" t="str">
        <f t="shared" si="34"/>
        <v>偿还融资利息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-21.25</v>
      </c>
      <c r="O100" s="1">
        <v>0</v>
      </c>
      <c r="P100" s="1">
        <v>0</v>
      </c>
      <c r="R100" s="1" t="str">
        <f t="shared" si="23"/>
        <v>人民币</v>
      </c>
    </row>
    <row r="101" spans="1:19">
      <c r="A101" s="1" t="str">
        <f t="shared" ref="A101:A105" si="35">"20200622"</f>
        <v>20200622</v>
      </c>
      <c r="B101" s="1" t="str">
        <f>"000543"</f>
        <v>000543</v>
      </c>
      <c r="C101" s="1" t="str">
        <f>"皖能电力"</f>
        <v>皖能电力</v>
      </c>
      <c r="D101" s="1" t="str">
        <f>"卖券还款"</f>
        <v>卖券还款</v>
      </c>
      <c r="E101" s="1">
        <v>4.04</v>
      </c>
      <c r="F101" s="1">
        <v>3000</v>
      </c>
      <c r="G101" s="1">
        <v>12120</v>
      </c>
      <c r="H101" s="1">
        <v>6.06</v>
      </c>
      <c r="I101" s="1">
        <v>4.99</v>
      </c>
      <c r="J101" s="1">
        <v>12.12</v>
      </c>
      <c r="K101" s="1">
        <v>0</v>
      </c>
      <c r="L101" s="1">
        <v>0</v>
      </c>
      <c r="M101" s="1">
        <v>0</v>
      </c>
      <c r="N101" s="1">
        <v>12101.82</v>
      </c>
      <c r="O101" s="1">
        <v>12101.82</v>
      </c>
      <c r="P101" s="1">
        <v>22000</v>
      </c>
      <c r="Q101" s="1" t="str">
        <f>"0602175409"</f>
        <v>0602175409</v>
      </c>
      <c r="R101" s="1" t="str">
        <f t="shared" si="23"/>
        <v>人民币</v>
      </c>
      <c r="S101" s="1" t="str">
        <f t="shared" ref="S101:S105" si="36">"T4001102"</f>
        <v>T4001102</v>
      </c>
    </row>
    <row r="102" spans="1:19">
      <c r="A102" s="1" t="str">
        <f t="shared" si="35"/>
        <v>20200622</v>
      </c>
      <c r="D102" s="1" t="str">
        <f>"偿还融资利息"</f>
        <v>偿还融资利息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-0.28</v>
      </c>
      <c r="O102" s="1">
        <v>12101.54</v>
      </c>
      <c r="P102" s="1">
        <v>0</v>
      </c>
      <c r="R102" s="1" t="str">
        <f t="shared" si="23"/>
        <v>人民币</v>
      </c>
      <c r="S102" s="1" t="str">
        <f t="shared" si="36"/>
        <v>T4001102</v>
      </c>
    </row>
    <row r="103" spans="1:19">
      <c r="A103" s="1" t="str">
        <f t="shared" si="35"/>
        <v>20200622</v>
      </c>
      <c r="D103" s="1" t="str">
        <f>"偿还融资负债本金"</f>
        <v>偿还融资负债本金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-610.18</v>
      </c>
      <c r="O103" s="1">
        <v>11491.36</v>
      </c>
      <c r="P103" s="1">
        <v>0</v>
      </c>
      <c r="R103" s="1" t="str">
        <f t="shared" si="23"/>
        <v>人民币</v>
      </c>
      <c r="S103" s="1" t="str">
        <f t="shared" si="36"/>
        <v>T4001102</v>
      </c>
    </row>
    <row r="104" spans="1:19">
      <c r="A104" s="1" t="str">
        <f t="shared" si="35"/>
        <v>20200622</v>
      </c>
      <c r="D104" s="1" t="str">
        <f>"偿还融资利息"</f>
        <v>偿还融资利息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-5.97</v>
      </c>
      <c r="O104" s="1">
        <v>11485.39</v>
      </c>
      <c r="P104" s="1">
        <v>0</v>
      </c>
      <c r="R104" s="1" t="str">
        <f t="shared" si="23"/>
        <v>人民币</v>
      </c>
      <c r="S104" s="1" t="str">
        <f t="shared" si="36"/>
        <v>T4001102</v>
      </c>
    </row>
    <row r="105" spans="1:19">
      <c r="A105" s="1" t="str">
        <f t="shared" si="35"/>
        <v>20200622</v>
      </c>
      <c r="D105" s="1" t="str">
        <f>"偿还融资负债本金"</f>
        <v>偿还融资负债本金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-11454.99</v>
      </c>
      <c r="O105" s="1">
        <v>30.4</v>
      </c>
      <c r="P105" s="1">
        <v>0</v>
      </c>
      <c r="R105" s="1" t="str">
        <f t="shared" si="23"/>
        <v>人民币</v>
      </c>
      <c r="S105" s="1" t="str">
        <f t="shared" si="36"/>
        <v>T4001102</v>
      </c>
    </row>
    <row r="106" spans="1:19">
      <c r="A106" s="1" t="str">
        <f t="shared" ref="A106:A112" si="37">"20200623"</f>
        <v>20200623</v>
      </c>
      <c r="B106" s="1" t="str">
        <f>"600362"</f>
        <v>600362</v>
      </c>
      <c r="C106" s="1" t="str">
        <f>"江西铜业"</f>
        <v>江西铜业</v>
      </c>
      <c r="D106" s="1" t="str">
        <f>"卖券还款"</f>
        <v>卖券还款</v>
      </c>
      <c r="E106" s="1">
        <v>13.39</v>
      </c>
      <c r="F106" s="1">
        <v>1000</v>
      </c>
      <c r="G106" s="1">
        <v>13390</v>
      </c>
      <c r="H106" s="1">
        <v>6.7</v>
      </c>
      <c r="I106" s="1">
        <v>5.78</v>
      </c>
      <c r="J106" s="1">
        <v>13.39</v>
      </c>
      <c r="K106" s="1">
        <v>0.27</v>
      </c>
      <c r="L106" s="1">
        <v>0</v>
      </c>
      <c r="M106" s="1">
        <v>0</v>
      </c>
      <c r="N106" s="1">
        <v>13369.64</v>
      </c>
      <c r="O106" s="1">
        <v>13400.04</v>
      </c>
      <c r="P106" s="1">
        <v>0</v>
      </c>
      <c r="Q106" s="1" t="str">
        <f t="shared" ref="Q106:Q108" si="38">"E021635187"</f>
        <v>E021635187</v>
      </c>
      <c r="R106" s="1" t="str">
        <f t="shared" si="23"/>
        <v>人民币</v>
      </c>
      <c r="S106" s="1" t="str">
        <f t="shared" ref="S106:S112" si="39">"0136000303"</f>
        <v>0136000303</v>
      </c>
    </row>
    <row r="107" spans="1:19">
      <c r="A107" s="1" t="str">
        <f t="shared" si="37"/>
        <v>20200623</v>
      </c>
      <c r="B107" s="1" t="str">
        <f>"510300"</f>
        <v>510300</v>
      </c>
      <c r="C107" s="1" t="str">
        <f>"300ETF"</f>
        <v>300ETF</v>
      </c>
      <c r="D107" s="1" t="str">
        <f>"融券卖出"</f>
        <v>融券卖出</v>
      </c>
      <c r="E107" s="1">
        <v>4.115</v>
      </c>
      <c r="F107" s="1">
        <v>3000</v>
      </c>
      <c r="G107" s="1">
        <v>12345</v>
      </c>
      <c r="H107" s="1">
        <v>6.17</v>
      </c>
      <c r="I107" s="1">
        <v>5.61</v>
      </c>
      <c r="J107" s="1">
        <v>0</v>
      </c>
      <c r="K107" s="1">
        <v>0</v>
      </c>
      <c r="L107" s="1">
        <v>0</v>
      </c>
      <c r="M107" s="1">
        <v>0</v>
      </c>
      <c r="N107" s="1">
        <v>12338.83</v>
      </c>
      <c r="O107" s="1">
        <v>25738.87</v>
      </c>
      <c r="P107" s="1">
        <v>0</v>
      </c>
      <c r="Q107" s="1" t="str">
        <f t="shared" si="38"/>
        <v>E021635187</v>
      </c>
      <c r="R107" s="1" t="str">
        <f t="shared" si="23"/>
        <v>人民币</v>
      </c>
      <c r="S107" s="1" t="str">
        <f>"0136000770"</f>
        <v>0136000770</v>
      </c>
    </row>
    <row r="108" spans="1:19">
      <c r="A108" s="1" t="str">
        <f t="shared" si="37"/>
        <v>20200623</v>
      </c>
      <c r="B108" s="1" t="str">
        <f>"510300"</f>
        <v>510300</v>
      </c>
      <c r="C108" s="1" t="str">
        <f>"300ETF"</f>
        <v>300ETF</v>
      </c>
      <c r="D108" s="1" t="str">
        <f>"融券借入"</f>
        <v>融券借入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 t="str">
        <f t="shared" si="38"/>
        <v>E021635187</v>
      </c>
      <c r="R108" s="1" t="str">
        <f t="shared" si="23"/>
        <v>人民币</v>
      </c>
      <c r="S108" s="1" t="str">
        <f>"0136000770"</f>
        <v>0136000770</v>
      </c>
    </row>
    <row r="109" spans="1:19">
      <c r="A109" s="1" t="str">
        <f t="shared" si="37"/>
        <v>20200623</v>
      </c>
      <c r="D109" s="1" t="str">
        <f>"偿还融资利息"</f>
        <v>偿还融资利息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-0.33</v>
      </c>
      <c r="O109" s="1">
        <v>25738.54</v>
      </c>
      <c r="P109" s="1">
        <v>0</v>
      </c>
      <c r="R109" s="1" t="str">
        <f t="shared" si="23"/>
        <v>人民币</v>
      </c>
      <c r="S109" s="1" t="str">
        <f t="shared" si="39"/>
        <v>0136000303</v>
      </c>
    </row>
    <row r="110" spans="1:19">
      <c r="A110" s="1" t="str">
        <f t="shared" si="37"/>
        <v>20200623</v>
      </c>
      <c r="D110" s="1" t="str">
        <f>"偿还融资负债本金"</f>
        <v>偿还融资负债本金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-1421.71</v>
      </c>
      <c r="O110" s="1">
        <v>24316.83</v>
      </c>
      <c r="P110" s="1">
        <v>0</v>
      </c>
      <c r="R110" s="1" t="str">
        <f t="shared" si="23"/>
        <v>人民币</v>
      </c>
      <c r="S110" s="1" t="str">
        <f t="shared" si="39"/>
        <v>0136000303</v>
      </c>
    </row>
    <row r="111" spans="1:19">
      <c r="A111" s="1" t="str">
        <f t="shared" si="37"/>
        <v>20200623</v>
      </c>
      <c r="D111" s="1" t="str">
        <f>"偿还融资利息"</f>
        <v>偿还融资利息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-18.93</v>
      </c>
      <c r="O111" s="1">
        <v>24297.9</v>
      </c>
      <c r="P111" s="1">
        <v>0</v>
      </c>
      <c r="R111" s="1" t="str">
        <f t="shared" si="23"/>
        <v>人民币</v>
      </c>
      <c r="S111" s="1" t="str">
        <f t="shared" si="39"/>
        <v>0136000303</v>
      </c>
    </row>
    <row r="112" spans="1:19">
      <c r="A112" s="1" t="str">
        <f t="shared" si="37"/>
        <v>20200623</v>
      </c>
      <c r="D112" s="1" t="str">
        <f>"偿还融资负债本金"</f>
        <v>偿还融资负债本金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-11895.2</v>
      </c>
      <c r="O112" s="1">
        <v>12402.7</v>
      </c>
      <c r="P112" s="1">
        <v>0</v>
      </c>
      <c r="R112" s="1" t="str">
        <f t="shared" si="23"/>
        <v>人民币</v>
      </c>
      <c r="S112" s="1" t="str">
        <f t="shared" si="39"/>
        <v>0136000303</v>
      </c>
    </row>
    <row r="113" spans="1:19">
      <c r="A113" s="1" t="str">
        <f>"20200624"</f>
        <v>20200624</v>
      </c>
      <c r="B113" s="1" t="str">
        <f>"600362"</f>
        <v>600362</v>
      </c>
      <c r="C113" s="1" t="str">
        <f>"江西铜业"</f>
        <v>江西铜业</v>
      </c>
      <c r="D113" s="1" t="str">
        <f>"融资买入"</f>
        <v>融资买入</v>
      </c>
      <c r="E113" s="1">
        <v>13.28</v>
      </c>
      <c r="F113" s="1">
        <v>1000</v>
      </c>
      <c r="G113" s="1">
        <v>13280</v>
      </c>
      <c r="H113" s="1">
        <v>6.64</v>
      </c>
      <c r="I113" s="1">
        <v>5.72</v>
      </c>
      <c r="J113" s="1">
        <v>0</v>
      </c>
      <c r="K113" s="1">
        <v>0.27</v>
      </c>
      <c r="L113" s="1">
        <v>0</v>
      </c>
      <c r="M113" s="1">
        <v>0</v>
      </c>
      <c r="N113" s="1">
        <v>-13286.91</v>
      </c>
      <c r="O113" s="1">
        <v>-884.21</v>
      </c>
      <c r="P113" s="1">
        <v>1000</v>
      </c>
      <c r="Q113" s="1" t="str">
        <f t="shared" ref="Q113:Q118" si="40">"E021635187"</f>
        <v>E021635187</v>
      </c>
      <c r="R113" s="1" t="str">
        <f t="shared" si="23"/>
        <v>人民币</v>
      </c>
      <c r="S113" s="1" t="str">
        <f>"0136001129"</f>
        <v>0136001129</v>
      </c>
    </row>
    <row r="114" spans="1:19">
      <c r="A114" s="1" t="str">
        <f>"20200624"</f>
        <v>20200624</v>
      </c>
      <c r="D114" s="1" t="str">
        <f>"融资借入"</f>
        <v>融资借入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13286.91</v>
      </c>
      <c r="O114" s="1">
        <v>12402.7</v>
      </c>
      <c r="P114" s="1">
        <v>0</v>
      </c>
      <c r="R114" s="1" t="str">
        <f t="shared" si="23"/>
        <v>人民币</v>
      </c>
      <c r="S114" s="1" t="str">
        <f>"0136001129"</f>
        <v>0136001129</v>
      </c>
    </row>
    <row r="115" spans="1:18">
      <c r="A115" s="1" t="str">
        <f t="shared" ref="A115:A122" si="41">"20200630"</f>
        <v>20200630</v>
      </c>
      <c r="B115" s="1" t="str">
        <f>"002183"</f>
        <v>002183</v>
      </c>
      <c r="C115" s="1" t="str">
        <f>"怡 亚 通"</f>
        <v>怡 亚 通</v>
      </c>
      <c r="D115" s="1" t="str">
        <f>"红利入账"</f>
        <v>红利入账</v>
      </c>
      <c r="E115" s="1">
        <v>0</v>
      </c>
      <c r="F115" s="1">
        <v>0</v>
      </c>
      <c r="G115" s="1">
        <v>125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125</v>
      </c>
      <c r="O115" s="1">
        <v>12527.7</v>
      </c>
      <c r="P115" s="1">
        <v>0</v>
      </c>
      <c r="Q115" s="1" t="str">
        <f>"0602175409"</f>
        <v>0602175409</v>
      </c>
      <c r="R115" s="1" t="str">
        <f t="shared" si="23"/>
        <v>人民币</v>
      </c>
    </row>
    <row r="116" spans="1:19">
      <c r="A116" s="1" t="str">
        <f t="shared" si="41"/>
        <v>20200630</v>
      </c>
      <c r="B116" s="1" t="str">
        <f>"510300"</f>
        <v>510300</v>
      </c>
      <c r="C116" s="1" t="str">
        <f>"300ETF"</f>
        <v>300ETF</v>
      </c>
      <c r="D116" s="1" t="str">
        <f>"融券卖出"</f>
        <v>融券卖出</v>
      </c>
      <c r="E116" s="1">
        <v>4.162</v>
      </c>
      <c r="F116" s="1">
        <v>3000</v>
      </c>
      <c r="G116" s="1">
        <v>12486</v>
      </c>
      <c r="H116" s="1">
        <v>6.24</v>
      </c>
      <c r="I116" s="1">
        <v>5.68</v>
      </c>
      <c r="J116" s="1">
        <v>0</v>
      </c>
      <c r="K116" s="1">
        <v>0</v>
      </c>
      <c r="L116" s="1">
        <v>0</v>
      </c>
      <c r="M116" s="1">
        <v>0</v>
      </c>
      <c r="N116" s="1">
        <v>12479.76</v>
      </c>
      <c r="O116" s="1">
        <v>25007.46</v>
      </c>
      <c r="P116" s="1">
        <v>0</v>
      </c>
      <c r="Q116" s="1" t="str">
        <f t="shared" si="40"/>
        <v>E021635187</v>
      </c>
      <c r="R116" s="1" t="str">
        <f t="shared" si="23"/>
        <v>人民币</v>
      </c>
      <c r="S116" s="1" t="str">
        <f>"0136000163"</f>
        <v>0136000163</v>
      </c>
    </row>
    <row r="117" spans="1:19">
      <c r="A117" s="1" t="str">
        <f t="shared" si="41"/>
        <v>20200630</v>
      </c>
      <c r="B117" s="1" t="str">
        <f>"600362"</f>
        <v>600362</v>
      </c>
      <c r="C117" s="1" t="str">
        <f>"江西铜业"</f>
        <v>江西铜业</v>
      </c>
      <c r="D117" s="1" t="str">
        <f>"卖券还款"</f>
        <v>卖券还款</v>
      </c>
      <c r="E117" s="1">
        <v>13.4</v>
      </c>
      <c r="F117" s="1">
        <v>1000</v>
      </c>
      <c r="G117" s="1">
        <v>13400</v>
      </c>
      <c r="H117" s="1">
        <v>6.7</v>
      </c>
      <c r="I117" s="1">
        <v>5.78</v>
      </c>
      <c r="J117" s="1">
        <v>13.4</v>
      </c>
      <c r="K117" s="1">
        <v>0.27</v>
      </c>
      <c r="L117" s="1">
        <v>0</v>
      </c>
      <c r="M117" s="1">
        <v>0</v>
      </c>
      <c r="N117" s="1">
        <v>13379.63</v>
      </c>
      <c r="O117" s="1">
        <v>38387.09</v>
      </c>
      <c r="P117" s="1">
        <v>0</v>
      </c>
      <c r="Q117" s="1" t="str">
        <f t="shared" si="40"/>
        <v>E021635187</v>
      </c>
      <c r="R117" s="1" t="str">
        <f t="shared" si="23"/>
        <v>人民币</v>
      </c>
      <c r="S117" s="1" t="str">
        <f t="shared" ref="S117:S122" si="42">"0136000261"</f>
        <v>0136000261</v>
      </c>
    </row>
    <row r="118" spans="1:19">
      <c r="A118" s="1" t="str">
        <f t="shared" si="41"/>
        <v>20200630</v>
      </c>
      <c r="B118" s="1" t="str">
        <f>"510300"</f>
        <v>510300</v>
      </c>
      <c r="C118" s="1" t="str">
        <f>"300ETF"</f>
        <v>300ETF</v>
      </c>
      <c r="D118" s="1" t="str">
        <f>"融券借入"</f>
        <v>融券借入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 t="str">
        <f t="shared" si="40"/>
        <v>E021635187</v>
      </c>
      <c r="R118" s="1" t="str">
        <f t="shared" si="23"/>
        <v>人民币</v>
      </c>
      <c r="S118" s="1" t="str">
        <f>"0136000163"</f>
        <v>0136000163</v>
      </c>
    </row>
    <row r="119" spans="1:19">
      <c r="A119" s="1" t="str">
        <f t="shared" si="41"/>
        <v>20200630</v>
      </c>
      <c r="D119" s="1" t="str">
        <f>"偿还融资利息"</f>
        <v>偿还融资利息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-0.78</v>
      </c>
      <c r="O119" s="1">
        <v>38386.31</v>
      </c>
      <c r="P119" s="1">
        <v>0</v>
      </c>
      <c r="R119" s="1" t="str">
        <f t="shared" si="23"/>
        <v>人民币</v>
      </c>
      <c r="S119" s="1" t="str">
        <f t="shared" si="42"/>
        <v>0136000261</v>
      </c>
    </row>
    <row r="120" spans="1:19">
      <c r="A120" s="1" t="str">
        <f t="shared" si="41"/>
        <v>20200630</v>
      </c>
      <c r="D120" s="1" t="str">
        <f>"偿还融资负债本金"</f>
        <v>偿还融资负债本金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-485.99</v>
      </c>
      <c r="O120" s="1">
        <v>37900.32</v>
      </c>
      <c r="P120" s="1">
        <v>0</v>
      </c>
      <c r="R120" s="1" t="str">
        <f t="shared" si="23"/>
        <v>人民币</v>
      </c>
      <c r="S120" s="1" t="str">
        <f t="shared" si="42"/>
        <v>0136000261</v>
      </c>
    </row>
    <row r="121" spans="1:19">
      <c r="A121" s="1" t="str">
        <f t="shared" si="41"/>
        <v>20200630</v>
      </c>
      <c r="D121" s="1" t="str">
        <f>"偿还融资利息"</f>
        <v>偿还融资利息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-151.83</v>
      </c>
      <c r="O121" s="1">
        <v>37748.49</v>
      </c>
      <c r="P121" s="1">
        <v>0</v>
      </c>
      <c r="R121" s="1" t="str">
        <f t="shared" si="23"/>
        <v>人民币</v>
      </c>
      <c r="S121" s="1" t="str">
        <f t="shared" si="42"/>
        <v>0136000261</v>
      </c>
    </row>
    <row r="122" spans="1:19">
      <c r="A122" s="1" t="str">
        <f t="shared" si="41"/>
        <v>20200630</v>
      </c>
      <c r="D122" s="1" t="str">
        <f>"偿还融资负债本金"</f>
        <v>偿还融资负债本金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-12707.53</v>
      </c>
      <c r="O122" s="1">
        <v>25040.96</v>
      </c>
      <c r="P122" s="1">
        <v>0</v>
      </c>
      <c r="R122" s="1" t="str">
        <f t="shared" si="23"/>
        <v>人民币</v>
      </c>
      <c r="S122" s="1" t="str">
        <f t="shared" si="42"/>
        <v>0136000261</v>
      </c>
    </row>
  </sheetData>
  <autoFilter ref="A1:S122">
    <extLst/>
  </autoFilter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36"/>
  <sheetViews>
    <sheetView topLeftCell="A10" workbookViewId="0">
      <selection activeCell="I25" sqref="I25"/>
    </sheetView>
  </sheetViews>
  <sheetFormatPr defaultColWidth="9.55833333333333" defaultRowHeight="13.5"/>
  <cols>
    <col min="1" max="16384" width="9.55833333333333" style="1"/>
  </cols>
  <sheetData>
    <row r="1" spans="1:19">
      <c r="A1" s="1" t="str">
        <f>"交割日期"</f>
        <v>交割日期</v>
      </c>
      <c r="B1" s="1" t="str">
        <f>"证券代码"</f>
        <v>证券代码</v>
      </c>
      <c r="C1" s="1" t="str">
        <f>"证券名称"</f>
        <v>证券名称</v>
      </c>
      <c r="D1" s="1" t="str">
        <f>"业务名称"</f>
        <v>业务名称</v>
      </c>
      <c r="E1" s="1" t="str">
        <f>"成交价格"</f>
        <v>成交价格</v>
      </c>
      <c r="F1" s="1" t="str">
        <f>"成交数量"</f>
        <v>成交数量</v>
      </c>
      <c r="G1" s="1" t="str">
        <f>"成交金额"</f>
        <v>成交金额</v>
      </c>
      <c r="H1" s="1" t="str">
        <f>"手续费"</f>
        <v>手续费</v>
      </c>
      <c r="I1" s="1" t="str">
        <f>"净佣金"</f>
        <v>净佣金</v>
      </c>
      <c r="J1" s="1" t="str">
        <f>"印花税"</f>
        <v>印花税</v>
      </c>
      <c r="K1" s="1" t="str">
        <f>"过户费"</f>
        <v>过户费</v>
      </c>
      <c r="L1" s="1" t="str">
        <f>"结算费"</f>
        <v>结算费</v>
      </c>
      <c r="M1" s="1" t="str">
        <f>"其他费"</f>
        <v>其他费</v>
      </c>
      <c r="N1" s="1" t="str">
        <f>"发生金额"</f>
        <v>发生金额</v>
      </c>
      <c r="O1" s="1" t="str">
        <f>"剩余金额"</f>
        <v>剩余金额</v>
      </c>
      <c r="P1" s="1" t="str">
        <f>"证券数量"</f>
        <v>证券数量</v>
      </c>
      <c r="Q1" s="1" t="str">
        <f>"股东代码"</f>
        <v>股东代码</v>
      </c>
      <c r="R1" s="1" t="str">
        <f>"币种"</f>
        <v>币种</v>
      </c>
      <c r="S1" s="1" t="str">
        <f>"成交编号"</f>
        <v>成交编号</v>
      </c>
    </row>
    <row r="2" spans="1:19">
      <c r="A2" s="1" t="str">
        <f t="shared" ref="A2:A6" si="0">"20200703"</f>
        <v>20200703</v>
      </c>
      <c r="B2" s="1" t="str">
        <f>"603707"</f>
        <v>603707</v>
      </c>
      <c r="C2" s="1" t="str">
        <f>"健友股份"</f>
        <v>健友股份</v>
      </c>
      <c r="D2" s="1" t="str">
        <f>"融券卖出"</f>
        <v>融券卖出</v>
      </c>
      <c r="E2" s="1">
        <v>61.2</v>
      </c>
      <c r="F2" s="1">
        <v>200</v>
      </c>
      <c r="G2" s="1">
        <v>12240</v>
      </c>
      <c r="H2" s="1">
        <v>6.12</v>
      </c>
      <c r="I2" s="1">
        <v>5.28</v>
      </c>
      <c r="J2" s="1">
        <v>12.24</v>
      </c>
      <c r="K2" s="1">
        <v>0.24</v>
      </c>
      <c r="L2" s="1">
        <v>0</v>
      </c>
      <c r="M2" s="1">
        <v>0</v>
      </c>
      <c r="N2" s="1">
        <v>12221.4</v>
      </c>
      <c r="O2" s="1">
        <v>37262.36</v>
      </c>
      <c r="P2" s="1">
        <v>0</v>
      </c>
      <c r="Q2" s="1" t="str">
        <f>"E021635187"</f>
        <v>E021635187</v>
      </c>
      <c r="R2" s="1" t="str">
        <f t="shared" ref="R2:R65" si="1">"人民币"</f>
        <v>人民币</v>
      </c>
      <c r="S2" s="1" t="str">
        <f>"0136000672"</f>
        <v>0136000672</v>
      </c>
    </row>
    <row r="3" spans="1:19">
      <c r="A3" s="1" t="str">
        <f t="shared" si="0"/>
        <v>20200703</v>
      </c>
      <c r="B3" s="1" t="str">
        <f>"000543"</f>
        <v>000543</v>
      </c>
      <c r="C3" s="1" t="str">
        <f>"皖能电力"</f>
        <v>皖能电力</v>
      </c>
      <c r="D3" s="1" t="str">
        <f>"卖券还款"</f>
        <v>卖券还款</v>
      </c>
      <c r="E3" s="1">
        <v>4.2</v>
      </c>
      <c r="F3" s="1">
        <v>3000</v>
      </c>
      <c r="G3" s="1">
        <v>12600</v>
      </c>
      <c r="H3" s="1">
        <v>6.3</v>
      </c>
      <c r="I3" s="1">
        <v>5.19</v>
      </c>
      <c r="J3" s="1">
        <v>12.6</v>
      </c>
      <c r="K3" s="1">
        <v>0</v>
      </c>
      <c r="L3" s="1">
        <v>0</v>
      </c>
      <c r="M3" s="1">
        <v>0</v>
      </c>
      <c r="N3" s="1">
        <v>12581.1</v>
      </c>
      <c r="O3" s="1">
        <v>49843.46</v>
      </c>
      <c r="P3" s="1">
        <v>19000</v>
      </c>
      <c r="Q3" s="1" t="str">
        <f>"0602175409"</f>
        <v>0602175409</v>
      </c>
      <c r="R3" s="1" t="str">
        <f t="shared" si="1"/>
        <v>人民币</v>
      </c>
      <c r="S3" s="1" t="str">
        <f t="shared" ref="S3:S6" si="2">"T4000488"</f>
        <v>T4000488</v>
      </c>
    </row>
    <row r="4" spans="1:19">
      <c r="A4" s="1" t="str">
        <f t="shared" si="0"/>
        <v>20200703</v>
      </c>
      <c r="B4" s="1" t="str">
        <f>"603707"</f>
        <v>603707</v>
      </c>
      <c r="C4" s="1" t="str">
        <f>"健友股份"</f>
        <v>健友股份</v>
      </c>
      <c r="D4" s="1" t="str">
        <f>"融券借入"</f>
        <v>融券借入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 t="str">
        <f>"E021635187"</f>
        <v>E021635187</v>
      </c>
      <c r="R4" s="1" t="str">
        <f t="shared" si="1"/>
        <v>人民币</v>
      </c>
      <c r="S4" s="1" t="str">
        <f>"0136000672"</f>
        <v>0136000672</v>
      </c>
    </row>
    <row r="5" spans="1:19">
      <c r="A5" s="1" t="str">
        <f t="shared" si="0"/>
        <v>20200703</v>
      </c>
      <c r="D5" s="1" t="str">
        <f>"偿还融资利息"</f>
        <v>偿还融资利息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-13.95</v>
      </c>
      <c r="O5" s="1">
        <v>49829.51</v>
      </c>
      <c r="P5" s="1">
        <v>0</v>
      </c>
      <c r="R5" s="1" t="str">
        <f t="shared" si="1"/>
        <v>人民币</v>
      </c>
      <c r="S5" s="1" t="str">
        <f t="shared" si="2"/>
        <v>T4000488</v>
      </c>
    </row>
    <row r="6" spans="1:19">
      <c r="A6" s="1" t="str">
        <f t="shared" si="0"/>
        <v>20200703</v>
      </c>
      <c r="D6" s="1" t="str">
        <f>"偿还融资负债本金"</f>
        <v>偿还融资负债本金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-12535.65</v>
      </c>
      <c r="O6" s="1">
        <v>37293.86</v>
      </c>
      <c r="P6" s="1">
        <v>0</v>
      </c>
      <c r="R6" s="1" t="str">
        <f t="shared" si="1"/>
        <v>人民币</v>
      </c>
      <c r="S6" s="1" t="str">
        <f t="shared" si="2"/>
        <v>T4000488</v>
      </c>
    </row>
    <row r="7" spans="1:18">
      <c r="A7" s="1" t="str">
        <f t="shared" ref="A7:A12" si="3">"20200706"</f>
        <v>20200706</v>
      </c>
      <c r="B7" s="1" t="str">
        <f>"000543"</f>
        <v>000543</v>
      </c>
      <c r="C7" s="1" t="str">
        <f>"皖能电力"</f>
        <v>皖能电力</v>
      </c>
      <c r="D7" s="1" t="str">
        <f>"红利入账"</f>
        <v>红利入账</v>
      </c>
      <c r="E7" s="1">
        <v>0</v>
      </c>
      <c r="F7" s="1">
        <v>0</v>
      </c>
      <c r="G7" s="1">
        <v>2261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2261</v>
      </c>
      <c r="O7" s="1">
        <v>39554.86</v>
      </c>
      <c r="P7" s="1">
        <v>0</v>
      </c>
      <c r="Q7" s="1" t="str">
        <f>"0602175409"</f>
        <v>0602175409</v>
      </c>
      <c r="R7" s="1" t="str">
        <f t="shared" si="1"/>
        <v>人民币</v>
      </c>
    </row>
    <row r="8" spans="1:19">
      <c r="A8" s="1" t="str">
        <f t="shared" si="3"/>
        <v>20200706</v>
      </c>
      <c r="B8" s="1" t="str">
        <f>"603707"</f>
        <v>603707</v>
      </c>
      <c r="C8" s="1" t="str">
        <f>"健友股份"</f>
        <v>健友股份</v>
      </c>
      <c r="D8" s="1" t="str">
        <f>"买券还券"</f>
        <v>买券还券</v>
      </c>
      <c r="E8" s="1">
        <v>59.88</v>
      </c>
      <c r="F8" s="1">
        <v>200</v>
      </c>
      <c r="G8" s="1">
        <v>11976</v>
      </c>
      <c r="H8" s="1">
        <v>5.99</v>
      </c>
      <c r="I8" s="1">
        <v>5.17</v>
      </c>
      <c r="J8" s="1">
        <v>0</v>
      </c>
      <c r="K8" s="1">
        <v>0.24</v>
      </c>
      <c r="L8" s="1">
        <v>0</v>
      </c>
      <c r="M8" s="1">
        <v>0</v>
      </c>
      <c r="N8" s="1">
        <v>-11982.23</v>
      </c>
      <c r="O8" s="1">
        <v>27572.63</v>
      </c>
      <c r="P8" s="1">
        <v>200</v>
      </c>
      <c r="Q8" s="1" t="str">
        <f>"E021635187"</f>
        <v>E021635187</v>
      </c>
      <c r="R8" s="1" t="str">
        <f t="shared" si="1"/>
        <v>人民币</v>
      </c>
      <c r="S8" s="1" t="str">
        <f>"0136000243"</f>
        <v>0136000243</v>
      </c>
    </row>
    <row r="9" spans="1:19">
      <c r="A9" s="1" t="str">
        <f t="shared" si="3"/>
        <v>20200706</v>
      </c>
      <c r="B9" s="1" t="str">
        <f>"002183"</f>
        <v>002183</v>
      </c>
      <c r="C9" s="1" t="str">
        <f>"怡 亚 通"</f>
        <v>怡 亚 通</v>
      </c>
      <c r="D9" s="1" t="str">
        <f>"融资买入"</f>
        <v>融资买入</v>
      </c>
      <c r="E9" s="1">
        <v>5.68</v>
      </c>
      <c r="F9" s="1">
        <v>3000</v>
      </c>
      <c r="G9" s="1">
        <v>17040</v>
      </c>
      <c r="H9" s="1">
        <v>8.52</v>
      </c>
      <c r="I9" s="1">
        <v>7.01</v>
      </c>
      <c r="J9" s="1">
        <v>0</v>
      </c>
      <c r="K9" s="1">
        <v>0</v>
      </c>
      <c r="L9" s="1">
        <v>0</v>
      </c>
      <c r="M9" s="1">
        <v>0</v>
      </c>
      <c r="N9" s="1">
        <v>-17048.52</v>
      </c>
      <c r="O9" s="1">
        <v>10524.11</v>
      </c>
      <c r="P9" s="1">
        <v>15500</v>
      </c>
      <c r="Q9" s="1" t="str">
        <f>"0602175409"</f>
        <v>0602175409</v>
      </c>
      <c r="R9" s="1" t="str">
        <f t="shared" si="1"/>
        <v>人民币</v>
      </c>
      <c r="S9" s="1" t="str">
        <f>"T4000487"</f>
        <v>T4000487</v>
      </c>
    </row>
    <row r="10" spans="1:19">
      <c r="A10" s="1" t="str">
        <f t="shared" si="3"/>
        <v>20200706</v>
      </c>
      <c r="D10" s="1" t="str">
        <f>"融资借入"</f>
        <v>融资借入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17048.52</v>
      </c>
      <c r="O10" s="1">
        <v>27572.63</v>
      </c>
      <c r="P10" s="1">
        <v>0</v>
      </c>
      <c r="R10" s="1" t="str">
        <f t="shared" si="1"/>
        <v>人民币</v>
      </c>
      <c r="S10" s="1" t="str">
        <f>"T4000487"</f>
        <v>T4000487</v>
      </c>
    </row>
    <row r="11" spans="1:18">
      <c r="A11" s="1" t="str">
        <f t="shared" si="3"/>
        <v>20200706</v>
      </c>
      <c r="B11" s="1" t="str">
        <f>"603707"</f>
        <v>603707</v>
      </c>
      <c r="C11" s="1" t="str">
        <f>"健友股份"</f>
        <v>健友股份</v>
      </c>
      <c r="D11" s="1" t="str">
        <f>"偿还融券负债"</f>
        <v>偿还融券负债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 t="str">
        <f>"E021635187"</f>
        <v>E021635187</v>
      </c>
      <c r="R11" s="1" t="str">
        <f t="shared" si="1"/>
        <v>人民币</v>
      </c>
    </row>
    <row r="12" spans="1:18">
      <c r="A12" s="1" t="str">
        <f t="shared" si="3"/>
        <v>20200706</v>
      </c>
      <c r="D12" s="1" t="str">
        <f>"偿还融券费用"</f>
        <v>偿还融券费用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-8.58</v>
      </c>
      <c r="O12" s="1">
        <v>27564.05</v>
      </c>
      <c r="P12" s="1">
        <v>0</v>
      </c>
      <c r="R12" s="1" t="str">
        <f t="shared" si="1"/>
        <v>人民币</v>
      </c>
    </row>
    <row r="13" spans="1:19">
      <c r="A13" s="1" t="str">
        <f t="shared" ref="A13:A17" si="4">"20200707"</f>
        <v>20200707</v>
      </c>
      <c r="B13" s="1" t="str">
        <f>"002183"</f>
        <v>002183</v>
      </c>
      <c r="C13" s="1" t="str">
        <f>"怡 亚 通"</f>
        <v>怡 亚 通</v>
      </c>
      <c r="D13" s="1" t="str">
        <f>"卖券还款"</f>
        <v>卖券还款</v>
      </c>
      <c r="E13" s="1">
        <v>5.77</v>
      </c>
      <c r="F13" s="1">
        <v>3000</v>
      </c>
      <c r="G13" s="1">
        <v>17310</v>
      </c>
      <c r="H13" s="1">
        <v>8.66</v>
      </c>
      <c r="I13" s="1">
        <v>7.13</v>
      </c>
      <c r="J13" s="1">
        <v>17.31</v>
      </c>
      <c r="K13" s="1">
        <v>0</v>
      </c>
      <c r="L13" s="1">
        <v>0</v>
      </c>
      <c r="M13" s="1">
        <v>0</v>
      </c>
      <c r="N13" s="1">
        <v>17284.03</v>
      </c>
      <c r="O13" s="1">
        <v>44848.08</v>
      </c>
      <c r="P13" s="1">
        <v>12500</v>
      </c>
      <c r="Q13" s="1" t="str">
        <f>"0602175409"</f>
        <v>0602175409</v>
      </c>
      <c r="R13" s="1" t="str">
        <f t="shared" si="1"/>
        <v>人民币</v>
      </c>
      <c r="S13" s="1" t="str">
        <f t="shared" ref="S13:S17" si="5">"T4000324"</f>
        <v>T4000324</v>
      </c>
    </row>
    <row r="14" spans="1:19">
      <c r="A14" s="1" t="str">
        <f t="shared" si="4"/>
        <v>20200707</v>
      </c>
      <c r="D14" s="1" t="str">
        <f>"偿还融资利息"</f>
        <v>偿还融资利息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-6.96</v>
      </c>
      <c r="O14" s="1">
        <v>44841.12</v>
      </c>
      <c r="P14" s="1">
        <v>0</v>
      </c>
      <c r="R14" s="1" t="str">
        <f t="shared" si="1"/>
        <v>人民币</v>
      </c>
      <c r="S14" s="1" t="str">
        <f t="shared" si="5"/>
        <v>T4000324</v>
      </c>
    </row>
    <row r="15" spans="1:19">
      <c r="A15" s="1" t="str">
        <f t="shared" si="4"/>
        <v>20200707</v>
      </c>
      <c r="D15" s="1" t="str">
        <f>"偿还融资负债本金"</f>
        <v>偿还融资负债本金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-7493.83</v>
      </c>
      <c r="O15" s="1">
        <v>37347.29</v>
      </c>
      <c r="P15" s="1">
        <v>0</v>
      </c>
      <c r="R15" s="1" t="str">
        <f t="shared" si="1"/>
        <v>人民币</v>
      </c>
      <c r="S15" s="1" t="str">
        <f t="shared" si="5"/>
        <v>T4000324</v>
      </c>
    </row>
    <row r="16" spans="1:19">
      <c r="A16" s="1" t="str">
        <f t="shared" si="4"/>
        <v>20200707</v>
      </c>
      <c r="D16" s="1" t="str">
        <f>"偿还融资利息"</f>
        <v>偿还融资利息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-75.06</v>
      </c>
      <c r="O16" s="1">
        <v>37272.23</v>
      </c>
      <c r="P16" s="1">
        <v>0</v>
      </c>
      <c r="R16" s="1" t="str">
        <f t="shared" si="1"/>
        <v>人民币</v>
      </c>
      <c r="S16" s="1" t="str">
        <f t="shared" si="5"/>
        <v>T4000324</v>
      </c>
    </row>
    <row r="17" spans="1:19">
      <c r="A17" s="1" t="str">
        <f t="shared" si="4"/>
        <v>20200707</v>
      </c>
      <c r="D17" s="1" t="str">
        <f>"偿还融资负债本金"</f>
        <v>偿还融资负债本金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-9664.91</v>
      </c>
      <c r="O17" s="1">
        <v>27607.32</v>
      </c>
      <c r="P17" s="1">
        <v>0</v>
      </c>
      <c r="R17" s="1" t="str">
        <f t="shared" si="1"/>
        <v>人民币</v>
      </c>
      <c r="S17" s="1" t="str">
        <f t="shared" si="5"/>
        <v>T4000324</v>
      </c>
    </row>
    <row r="18" spans="1:18">
      <c r="A18" s="1" t="str">
        <f t="shared" ref="A18:A20" si="6">"20200708"</f>
        <v>20200708</v>
      </c>
      <c r="B18" s="1" t="str">
        <f>"002183"</f>
        <v>002183</v>
      </c>
      <c r="C18" s="1" t="str">
        <f>"怡 亚 通"</f>
        <v>怡 亚 通</v>
      </c>
      <c r="D18" s="1" t="str">
        <f>"股息红利差异扣税"</f>
        <v>股息红利差异扣税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-3</v>
      </c>
      <c r="O18" s="1">
        <v>27604.32</v>
      </c>
      <c r="P18" s="1">
        <v>0</v>
      </c>
      <c r="Q18" s="1" t="str">
        <f>"0602175409"</f>
        <v>0602175409</v>
      </c>
      <c r="R18" s="1" t="str">
        <f t="shared" si="1"/>
        <v>人民币</v>
      </c>
    </row>
    <row r="19" spans="1:19">
      <c r="A19" s="1" t="str">
        <f t="shared" si="6"/>
        <v>20200708</v>
      </c>
      <c r="B19" s="1" t="str">
        <f>"600066"</f>
        <v>600066</v>
      </c>
      <c r="C19" s="1" t="str">
        <f>"宇通客车"</f>
        <v>宇通客车</v>
      </c>
      <c r="D19" s="1" t="str">
        <f>"融资买入"</f>
        <v>融资买入</v>
      </c>
      <c r="E19" s="1">
        <v>12.97</v>
      </c>
      <c r="F19" s="1">
        <v>1000</v>
      </c>
      <c r="G19" s="1">
        <v>12970</v>
      </c>
      <c r="H19" s="1">
        <v>6.49</v>
      </c>
      <c r="I19" s="1">
        <v>5.6</v>
      </c>
      <c r="J19" s="1">
        <v>0</v>
      </c>
      <c r="K19" s="1">
        <v>0.26</v>
      </c>
      <c r="L19" s="1">
        <v>0</v>
      </c>
      <c r="M19" s="1">
        <v>0</v>
      </c>
      <c r="N19" s="1">
        <v>-12976.75</v>
      </c>
      <c r="O19" s="1">
        <v>14627.57</v>
      </c>
      <c r="P19" s="1">
        <v>1000</v>
      </c>
      <c r="Q19" s="1" t="str">
        <f>"E021635187"</f>
        <v>E021635187</v>
      </c>
      <c r="R19" s="1" t="str">
        <f t="shared" si="1"/>
        <v>人民币</v>
      </c>
      <c r="S19" s="1" t="str">
        <f>"0136001903"</f>
        <v>0136001903</v>
      </c>
    </row>
    <row r="20" spans="1:19">
      <c r="A20" s="1" t="str">
        <f t="shared" si="6"/>
        <v>20200708</v>
      </c>
      <c r="D20" s="1" t="str">
        <f>"融资借入"</f>
        <v>融资借入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12976.75</v>
      </c>
      <c r="O20" s="1">
        <v>27604.32</v>
      </c>
      <c r="P20" s="1">
        <v>0</v>
      </c>
      <c r="R20" s="1" t="str">
        <f t="shared" si="1"/>
        <v>人民币</v>
      </c>
      <c r="S20" s="1" t="str">
        <f>"0136001903"</f>
        <v>0136001903</v>
      </c>
    </row>
    <row r="21" spans="1:19">
      <c r="A21" s="1" t="str">
        <f t="shared" ref="A21:A25" si="7">"20200713"</f>
        <v>20200713</v>
      </c>
      <c r="B21" s="1" t="str">
        <f>"600066"</f>
        <v>600066</v>
      </c>
      <c r="C21" s="1" t="str">
        <f>"宇通客车"</f>
        <v>宇通客车</v>
      </c>
      <c r="D21" s="1" t="str">
        <f>"卖券还款"</f>
        <v>卖券还款</v>
      </c>
      <c r="E21" s="1">
        <v>13.74</v>
      </c>
      <c r="F21" s="1">
        <v>1000</v>
      </c>
      <c r="G21" s="1">
        <v>13740</v>
      </c>
      <c r="H21" s="1">
        <v>6.87</v>
      </c>
      <c r="I21" s="1">
        <v>5.93</v>
      </c>
      <c r="J21" s="1">
        <v>13.74</v>
      </c>
      <c r="K21" s="1">
        <v>0.27</v>
      </c>
      <c r="L21" s="1">
        <v>0</v>
      </c>
      <c r="M21" s="1">
        <v>0</v>
      </c>
      <c r="N21" s="1">
        <v>13719.12</v>
      </c>
      <c r="O21" s="1">
        <v>41323.44</v>
      </c>
      <c r="P21" s="1">
        <v>0</v>
      </c>
      <c r="Q21" s="1" t="str">
        <f>"E021635187"</f>
        <v>E021635187</v>
      </c>
      <c r="R21" s="1" t="str">
        <f t="shared" si="1"/>
        <v>人民币</v>
      </c>
      <c r="S21" s="1" t="str">
        <f t="shared" ref="S21:S25" si="8">"0136000542"</f>
        <v>0136000542</v>
      </c>
    </row>
    <row r="22" spans="1:19">
      <c r="A22" s="1" t="str">
        <f t="shared" si="7"/>
        <v>20200713</v>
      </c>
      <c r="D22" s="1" t="str">
        <f>"偿还融资利息"</f>
        <v>偿还融资利息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-3.23</v>
      </c>
      <c r="O22" s="1">
        <v>41320.21</v>
      </c>
      <c r="P22" s="1">
        <v>0</v>
      </c>
      <c r="R22" s="1" t="str">
        <f t="shared" si="1"/>
        <v>人民币</v>
      </c>
      <c r="S22" s="1" t="str">
        <f t="shared" si="8"/>
        <v>0136000542</v>
      </c>
    </row>
    <row r="23" spans="1:19">
      <c r="A23" s="1" t="str">
        <f t="shared" si="7"/>
        <v>20200713</v>
      </c>
      <c r="D23" s="1" t="str">
        <f>"偿还融资负债本金"</f>
        <v>偿还融资负债本金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-2316.08</v>
      </c>
      <c r="O23" s="1">
        <v>39004.13</v>
      </c>
      <c r="P23" s="1">
        <v>0</v>
      </c>
      <c r="R23" s="1" t="str">
        <f t="shared" si="1"/>
        <v>人民币</v>
      </c>
      <c r="S23" s="1" t="str">
        <f t="shared" si="8"/>
        <v>0136000542</v>
      </c>
    </row>
    <row r="24" spans="1:19">
      <c r="A24" s="1" t="str">
        <f t="shared" si="7"/>
        <v>20200713</v>
      </c>
      <c r="D24" s="1" t="str">
        <f>"偿还融资利息"</f>
        <v>偿还融资利息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-84.63</v>
      </c>
      <c r="O24" s="1">
        <v>38919.5</v>
      </c>
      <c r="P24" s="1">
        <v>0</v>
      </c>
      <c r="R24" s="1" t="str">
        <f t="shared" si="1"/>
        <v>人民币</v>
      </c>
      <c r="S24" s="1" t="str">
        <f t="shared" si="8"/>
        <v>0136000542</v>
      </c>
    </row>
    <row r="25" spans="1:19">
      <c r="A25" s="1" t="str">
        <f t="shared" si="7"/>
        <v>20200713</v>
      </c>
      <c r="D25" s="1" t="str">
        <f>"偿还融资负债本金"</f>
        <v>偿还融资负债本金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-11280.83</v>
      </c>
      <c r="O25" s="1">
        <v>27638.67</v>
      </c>
      <c r="P25" s="1">
        <v>0</v>
      </c>
      <c r="R25" s="1" t="str">
        <f t="shared" si="1"/>
        <v>人民币</v>
      </c>
      <c r="S25" s="1" t="str">
        <f t="shared" si="8"/>
        <v>0136000542</v>
      </c>
    </row>
    <row r="26" spans="1:19">
      <c r="A26" s="1" t="str">
        <f>"20200716"</f>
        <v>20200716</v>
      </c>
      <c r="B26" s="1" t="str">
        <f>"600066"</f>
        <v>600066</v>
      </c>
      <c r="C26" s="1" t="str">
        <f>"宇通客车"</f>
        <v>宇通客车</v>
      </c>
      <c r="D26" s="1" t="str">
        <f t="shared" ref="D26:D29" si="9">"融资买入"</f>
        <v>融资买入</v>
      </c>
      <c r="E26" s="1">
        <v>12.99</v>
      </c>
      <c r="F26" s="1">
        <v>1000</v>
      </c>
      <c r="G26" s="1">
        <v>12990</v>
      </c>
      <c r="H26" s="1">
        <v>6.5</v>
      </c>
      <c r="I26" s="1">
        <v>5.61</v>
      </c>
      <c r="J26" s="1">
        <v>0</v>
      </c>
      <c r="K26" s="1">
        <v>0.26</v>
      </c>
      <c r="L26" s="1">
        <v>0</v>
      </c>
      <c r="M26" s="1">
        <v>0</v>
      </c>
      <c r="N26" s="1">
        <v>-12996.76</v>
      </c>
      <c r="O26" s="1">
        <v>14641.91</v>
      </c>
      <c r="P26" s="1">
        <v>1000</v>
      </c>
      <c r="Q26" s="1" t="str">
        <f>"E021635187"</f>
        <v>E021635187</v>
      </c>
      <c r="R26" s="1" t="str">
        <f t="shared" si="1"/>
        <v>人民币</v>
      </c>
      <c r="S26" s="1" t="str">
        <f>"0136001649"</f>
        <v>0136001649</v>
      </c>
    </row>
    <row r="27" spans="1:19">
      <c r="A27" s="1" t="str">
        <f>"20200716"</f>
        <v>20200716</v>
      </c>
      <c r="D27" s="1" t="str">
        <f t="shared" ref="D27:D31" si="10">"融资借入"</f>
        <v>融资借入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12996.76</v>
      </c>
      <c r="O27" s="1">
        <v>27638.67</v>
      </c>
      <c r="P27" s="1">
        <v>0</v>
      </c>
      <c r="R27" s="1" t="str">
        <f t="shared" si="1"/>
        <v>人民币</v>
      </c>
      <c r="S27" s="1" t="str">
        <f>"0136001649"</f>
        <v>0136001649</v>
      </c>
    </row>
    <row r="28" spans="1:19">
      <c r="A28" s="1" t="str">
        <f t="shared" ref="A28:A31" si="11">"20200717"</f>
        <v>20200717</v>
      </c>
      <c r="B28" s="1" t="str">
        <f>"000543"</f>
        <v>000543</v>
      </c>
      <c r="C28" s="1" t="str">
        <f>"皖能电力"</f>
        <v>皖能电力</v>
      </c>
      <c r="D28" s="1" t="str">
        <f t="shared" si="9"/>
        <v>融资买入</v>
      </c>
      <c r="E28" s="1">
        <v>4.09</v>
      </c>
      <c r="F28" s="1">
        <v>3000</v>
      </c>
      <c r="G28" s="1">
        <v>12270</v>
      </c>
      <c r="H28" s="1">
        <v>6.14</v>
      </c>
      <c r="I28" s="1">
        <v>5.04</v>
      </c>
      <c r="J28" s="1">
        <v>0</v>
      </c>
      <c r="K28" s="1">
        <v>0</v>
      </c>
      <c r="L28" s="1">
        <v>0</v>
      </c>
      <c r="M28" s="1">
        <v>0</v>
      </c>
      <c r="N28" s="1">
        <v>-12276.14</v>
      </c>
      <c r="O28" s="1">
        <v>15362.53</v>
      </c>
      <c r="P28" s="1">
        <v>22000</v>
      </c>
      <c r="Q28" s="1" t="str">
        <f t="shared" ref="Q28:Q32" si="12">"0602175409"</f>
        <v>0602175409</v>
      </c>
      <c r="R28" s="1" t="str">
        <f t="shared" si="1"/>
        <v>人民币</v>
      </c>
      <c r="S28" s="1" t="str">
        <f>"T4000855"</f>
        <v>T4000855</v>
      </c>
    </row>
    <row r="29" spans="1:19">
      <c r="A29" s="1" t="str">
        <f t="shared" si="11"/>
        <v>20200717</v>
      </c>
      <c r="B29" s="1" t="str">
        <f>"002183"</f>
        <v>002183</v>
      </c>
      <c r="C29" s="1" t="str">
        <f>"怡 亚 通"</f>
        <v>怡 亚 通</v>
      </c>
      <c r="D29" s="1" t="str">
        <f t="shared" si="9"/>
        <v>融资买入</v>
      </c>
      <c r="E29" s="1">
        <v>5.8</v>
      </c>
      <c r="F29" s="1">
        <v>3000</v>
      </c>
      <c r="G29" s="1">
        <v>17400</v>
      </c>
      <c r="H29" s="1">
        <v>8.7</v>
      </c>
      <c r="I29" s="1">
        <v>7.16</v>
      </c>
      <c r="J29" s="1">
        <v>0</v>
      </c>
      <c r="K29" s="1">
        <v>0</v>
      </c>
      <c r="L29" s="1">
        <v>0</v>
      </c>
      <c r="M29" s="1">
        <v>0</v>
      </c>
      <c r="N29" s="1">
        <v>-17408.7</v>
      </c>
      <c r="O29" s="1">
        <v>-2046.17</v>
      </c>
      <c r="P29" s="1">
        <v>15500</v>
      </c>
      <c r="Q29" s="1" t="str">
        <f t="shared" si="12"/>
        <v>0602175409</v>
      </c>
      <c r="R29" s="1" t="str">
        <f t="shared" si="1"/>
        <v>人民币</v>
      </c>
      <c r="S29" s="1" t="str">
        <f>"T4000941"</f>
        <v>T4000941</v>
      </c>
    </row>
    <row r="30" spans="1:19">
      <c r="A30" s="1" t="str">
        <f t="shared" si="11"/>
        <v>20200717</v>
      </c>
      <c r="D30" s="1" t="str">
        <f t="shared" si="10"/>
        <v>融资借入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12276.14</v>
      </c>
      <c r="O30" s="1">
        <v>10229.97</v>
      </c>
      <c r="P30" s="1">
        <v>0</v>
      </c>
      <c r="R30" s="1" t="str">
        <f t="shared" si="1"/>
        <v>人民币</v>
      </c>
      <c r="S30" s="1" t="str">
        <f>"T4000855"</f>
        <v>T4000855</v>
      </c>
    </row>
    <row r="31" spans="1:19">
      <c r="A31" s="1" t="str">
        <f t="shared" si="11"/>
        <v>20200717</v>
      </c>
      <c r="D31" s="1" t="str">
        <f t="shared" si="10"/>
        <v>融资借入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17408.7</v>
      </c>
      <c r="O31" s="1">
        <v>27638.67</v>
      </c>
      <c r="P31" s="1">
        <v>0</v>
      </c>
      <c r="R31" s="1" t="str">
        <f t="shared" si="1"/>
        <v>人民币</v>
      </c>
      <c r="S31" s="1" t="str">
        <f>"T4000941"</f>
        <v>T4000941</v>
      </c>
    </row>
    <row r="32" spans="1:19">
      <c r="A32" s="1" t="str">
        <f t="shared" ref="A32:A55" si="13">"20200720"</f>
        <v>20200720</v>
      </c>
      <c r="B32" s="1" t="str">
        <f>"002183"</f>
        <v>002183</v>
      </c>
      <c r="C32" s="1" t="str">
        <f>"怡 亚 通"</f>
        <v>怡 亚 通</v>
      </c>
      <c r="D32" s="1" t="str">
        <f t="shared" ref="D32:D34" si="14">"卖券还款"</f>
        <v>卖券还款</v>
      </c>
      <c r="E32" s="1">
        <v>6.06</v>
      </c>
      <c r="F32" s="1">
        <v>3000</v>
      </c>
      <c r="G32" s="1">
        <v>18180</v>
      </c>
      <c r="H32" s="1">
        <v>9.09</v>
      </c>
      <c r="I32" s="1">
        <v>7.48</v>
      </c>
      <c r="J32" s="1">
        <v>18.18</v>
      </c>
      <c r="K32" s="1">
        <v>0</v>
      </c>
      <c r="L32" s="1">
        <v>0</v>
      </c>
      <c r="M32" s="1">
        <v>0</v>
      </c>
      <c r="N32" s="1">
        <v>18152.73</v>
      </c>
      <c r="O32" s="1">
        <v>45791.4</v>
      </c>
      <c r="P32" s="1">
        <v>12500</v>
      </c>
      <c r="Q32" s="1" t="str">
        <f t="shared" si="12"/>
        <v>0602175409</v>
      </c>
      <c r="R32" s="1" t="str">
        <f t="shared" si="1"/>
        <v>人民币</v>
      </c>
      <c r="S32" s="1" t="str">
        <f t="shared" ref="S32:S40" si="15">"T4000699"</f>
        <v>T4000699</v>
      </c>
    </row>
    <row r="33" spans="1:19">
      <c r="A33" s="1" t="str">
        <f t="shared" si="13"/>
        <v>20200720</v>
      </c>
      <c r="B33" s="1" t="str">
        <f>"600066"</f>
        <v>600066</v>
      </c>
      <c r="C33" s="1" t="str">
        <f>"宇通客车"</f>
        <v>宇通客车</v>
      </c>
      <c r="D33" s="1" t="str">
        <f t="shared" si="14"/>
        <v>卖券还款</v>
      </c>
      <c r="E33" s="1">
        <v>13.22</v>
      </c>
      <c r="F33" s="1">
        <v>1000</v>
      </c>
      <c r="G33" s="1">
        <v>13220</v>
      </c>
      <c r="H33" s="1">
        <v>6.61</v>
      </c>
      <c r="I33" s="1">
        <v>5.71</v>
      </c>
      <c r="J33" s="1">
        <v>13.22</v>
      </c>
      <c r="K33" s="1">
        <v>0.26</v>
      </c>
      <c r="L33" s="1">
        <v>0</v>
      </c>
      <c r="M33" s="1">
        <v>0</v>
      </c>
      <c r="N33" s="1">
        <v>13199.91</v>
      </c>
      <c r="O33" s="1">
        <v>58991.31</v>
      </c>
      <c r="P33" s="1">
        <v>0</v>
      </c>
      <c r="Q33" s="1" t="str">
        <f>"E021635187"</f>
        <v>E021635187</v>
      </c>
      <c r="R33" s="1" t="str">
        <f t="shared" si="1"/>
        <v>人民币</v>
      </c>
      <c r="S33" s="1" t="str">
        <f>"0136001556"</f>
        <v>0136001556</v>
      </c>
    </row>
    <row r="34" spans="1:19">
      <c r="A34" s="1" t="str">
        <f t="shared" si="13"/>
        <v>20200720</v>
      </c>
      <c r="B34" s="1" t="str">
        <f>"000543"</f>
        <v>000543</v>
      </c>
      <c r="C34" s="1" t="str">
        <f>"皖能电力"</f>
        <v>皖能电力</v>
      </c>
      <c r="D34" s="1" t="str">
        <f t="shared" si="14"/>
        <v>卖券还款</v>
      </c>
      <c r="E34" s="1">
        <v>4.3</v>
      </c>
      <c r="F34" s="1">
        <v>3000</v>
      </c>
      <c r="G34" s="1">
        <v>12900</v>
      </c>
      <c r="H34" s="1">
        <v>6.45</v>
      </c>
      <c r="I34" s="1">
        <v>5.3</v>
      </c>
      <c r="J34" s="1">
        <v>12.9</v>
      </c>
      <c r="K34" s="1">
        <v>0</v>
      </c>
      <c r="L34" s="1">
        <v>0</v>
      </c>
      <c r="M34" s="1">
        <v>0</v>
      </c>
      <c r="N34" s="1">
        <v>12880.65</v>
      </c>
      <c r="O34" s="1">
        <v>71871.96</v>
      </c>
      <c r="P34" s="1">
        <v>19000</v>
      </c>
      <c r="Q34" s="1" t="str">
        <f>"0602175409"</f>
        <v>0602175409</v>
      </c>
      <c r="R34" s="1" t="str">
        <f t="shared" si="1"/>
        <v>人民币</v>
      </c>
      <c r="S34" s="1" t="str">
        <f>"T4000707"</f>
        <v>T4000707</v>
      </c>
    </row>
    <row r="35" spans="1:19">
      <c r="A35" s="1" t="str">
        <f t="shared" si="13"/>
        <v>20200720</v>
      </c>
      <c r="D35" s="1" t="str">
        <f t="shared" ref="D35:D39" si="16">"偿还融资利息"</f>
        <v>偿还融资利息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-0.78</v>
      </c>
      <c r="O35" s="1">
        <v>71871.18</v>
      </c>
      <c r="P35" s="1">
        <v>0</v>
      </c>
      <c r="R35" s="1" t="str">
        <f t="shared" si="1"/>
        <v>人民币</v>
      </c>
      <c r="S35" s="1" t="str">
        <f t="shared" si="15"/>
        <v>T4000699</v>
      </c>
    </row>
    <row r="36" spans="1:19">
      <c r="A36" s="1" t="str">
        <f t="shared" si="13"/>
        <v>20200720</v>
      </c>
      <c r="D36" s="1" t="str">
        <f t="shared" ref="D36:D41" si="17">"偿还融资负债本金"</f>
        <v>偿还融资负债本金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-485.05</v>
      </c>
      <c r="O36" s="1">
        <v>71386.13</v>
      </c>
      <c r="P36" s="1">
        <v>0</v>
      </c>
      <c r="R36" s="1" t="str">
        <f t="shared" si="1"/>
        <v>人民币</v>
      </c>
      <c r="S36" s="1" t="str">
        <f t="shared" si="15"/>
        <v>T4000699</v>
      </c>
    </row>
    <row r="37" spans="1:19">
      <c r="A37" s="1" t="str">
        <f t="shared" si="13"/>
        <v>20200720</v>
      </c>
      <c r="D37" s="1" t="str">
        <f t="shared" si="16"/>
        <v>偿还融资利息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-103.07</v>
      </c>
      <c r="O37" s="1">
        <v>71283.06</v>
      </c>
      <c r="P37" s="1">
        <v>0</v>
      </c>
      <c r="R37" s="1" t="str">
        <f t="shared" si="1"/>
        <v>人民币</v>
      </c>
      <c r="S37" s="1" t="str">
        <f t="shared" si="15"/>
        <v>T4000699</v>
      </c>
    </row>
    <row r="38" spans="1:19">
      <c r="A38" s="1" t="str">
        <f t="shared" si="13"/>
        <v>20200720</v>
      </c>
      <c r="D38" s="1" t="str">
        <f t="shared" si="17"/>
        <v>偿还融资负债本金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-13076.8</v>
      </c>
      <c r="O38" s="1">
        <v>58206.26</v>
      </c>
      <c r="P38" s="1">
        <v>0</v>
      </c>
      <c r="R38" s="1" t="str">
        <f t="shared" si="1"/>
        <v>人民币</v>
      </c>
      <c r="S38" s="1" t="str">
        <f t="shared" si="15"/>
        <v>T4000699</v>
      </c>
    </row>
    <row r="39" spans="1:19">
      <c r="A39" s="1" t="str">
        <f t="shared" si="13"/>
        <v>20200720</v>
      </c>
      <c r="D39" s="1" t="str">
        <f t="shared" si="16"/>
        <v>偿还融资利息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-99.93</v>
      </c>
      <c r="O39" s="1">
        <v>58106.33</v>
      </c>
      <c r="P39" s="1">
        <v>0</v>
      </c>
      <c r="R39" s="1" t="str">
        <f t="shared" si="1"/>
        <v>人民币</v>
      </c>
      <c r="S39" s="1" t="str">
        <f t="shared" si="15"/>
        <v>T4000699</v>
      </c>
    </row>
    <row r="40" spans="1:19">
      <c r="A40" s="1" t="str">
        <f t="shared" si="13"/>
        <v>20200720</v>
      </c>
      <c r="D40" s="1" t="str">
        <f t="shared" si="17"/>
        <v>偿还融资负债本金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-4341.65</v>
      </c>
      <c r="O40" s="1">
        <v>53764.68</v>
      </c>
      <c r="P40" s="1">
        <v>0</v>
      </c>
      <c r="R40" s="1" t="str">
        <f t="shared" si="1"/>
        <v>人民币</v>
      </c>
      <c r="S40" s="1" t="str">
        <f t="shared" si="15"/>
        <v>T4000699</v>
      </c>
    </row>
    <row r="41" spans="1:19">
      <c r="A41" s="1" t="str">
        <f t="shared" si="13"/>
        <v>20200720</v>
      </c>
      <c r="D41" s="1" t="str">
        <f t="shared" si="17"/>
        <v>偿还融资负债本金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-8705.13</v>
      </c>
      <c r="O41" s="1">
        <v>45059.55</v>
      </c>
      <c r="P41" s="1">
        <v>0</v>
      </c>
      <c r="R41" s="1" t="str">
        <f t="shared" si="1"/>
        <v>人民币</v>
      </c>
      <c r="S41" s="1" t="str">
        <f t="shared" ref="S41:S43" si="18">"0136001556"</f>
        <v>0136001556</v>
      </c>
    </row>
    <row r="42" spans="1:19">
      <c r="A42" s="1" t="str">
        <f t="shared" si="13"/>
        <v>20200720</v>
      </c>
      <c r="D42" s="1" t="str">
        <f>"偿还融资利息"</f>
        <v>偿还融资利息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-95.49</v>
      </c>
      <c r="O42" s="1">
        <v>44964.06</v>
      </c>
      <c r="P42" s="1">
        <v>0</v>
      </c>
      <c r="R42" s="1" t="str">
        <f t="shared" si="1"/>
        <v>人民币</v>
      </c>
      <c r="S42" s="1" t="str">
        <f t="shared" si="18"/>
        <v>0136001556</v>
      </c>
    </row>
    <row r="43" spans="1:19">
      <c r="A43" s="1" t="str">
        <f t="shared" si="13"/>
        <v>20200720</v>
      </c>
      <c r="D43" s="1" t="str">
        <f t="shared" ref="D43:D47" si="19">"偿还融资负债本金"</f>
        <v>偿还融资负债本金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-4366.24</v>
      </c>
      <c r="O43" s="1">
        <v>40597.82</v>
      </c>
      <c r="P43" s="1">
        <v>0</v>
      </c>
      <c r="R43" s="1" t="str">
        <f t="shared" si="1"/>
        <v>人民币</v>
      </c>
      <c r="S43" s="1" t="str">
        <f t="shared" si="18"/>
        <v>0136001556</v>
      </c>
    </row>
    <row r="44" spans="1:19">
      <c r="A44" s="1" t="str">
        <f t="shared" si="13"/>
        <v>20200720</v>
      </c>
      <c r="D44" s="1" t="str">
        <f t="shared" si="19"/>
        <v>偿还融资负债本金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-8920.67</v>
      </c>
      <c r="O44" s="1">
        <v>31677.15</v>
      </c>
      <c r="P44" s="1">
        <v>0</v>
      </c>
      <c r="R44" s="1" t="str">
        <f t="shared" si="1"/>
        <v>人民币</v>
      </c>
      <c r="S44" s="1" t="str">
        <f t="shared" ref="S44:S47" si="20">"T4000707"</f>
        <v>T4000707</v>
      </c>
    </row>
    <row r="45" spans="1:19">
      <c r="A45" s="1" t="str">
        <f t="shared" si="13"/>
        <v>20200720</v>
      </c>
      <c r="D45" s="1" t="str">
        <f t="shared" ref="D45:D50" si="21">"偿还融券费用"</f>
        <v>偿还融券费用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-84.68</v>
      </c>
      <c r="O45" s="1">
        <v>31592.47</v>
      </c>
      <c r="P45" s="1">
        <v>0</v>
      </c>
      <c r="R45" s="1" t="str">
        <f t="shared" si="1"/>
        <v>人民币</v>
      </c>
      <c r="S45" s="1" t="str">
        <f t="shared" si="20"/>
        <v>T4000707</v>
      </c>
    </row>
    <row r="46" spans="1:19">
      <c r="A46" s="1" t="str">
        <f t="shared" si="13"/>
        <v>20200720</v>
      </c>
      <c r="D46" s="1" t="str">
        <f t="shared" ref="D46:D55" si="22">"偿还融资利息"</f>
        <v>偿还融资利息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-80.09</v>
      </c>
      <c r="O46" s="1">
        <v>31512.38</v>
      </c>
      <c r="P46" s="1">
        <v>0</v>
      </c>
      <c r="R46" s="1" t="str">
        <f t="shared" si="1"/>
        <v>人民币</v>
      </c>
      <c r="S46" s="1" t="str">
        <f t="shared" si="20"/>
        <v>T4000707</v>
      </c>
    </row>
    <row r="47" spans="1:19">
      <c r="A47" s="1" t="str">
        <f t="shared" si="13"/>
        <v>20200720</v>
      </c>
      <c r="D47" s="1" t="str">
        <f t="shared" si="19"/>
        <v>偿还融资负债本金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-3762.96</v>
      </c>
      <c r="O47" s="1">
        <v>27749.42</v>
      </c>
      <c r="P47" s="1">
        <v>0</v>
      </c>
      <c r="R47" s="1" t="str">
        <f t="shared" si="1"/>
        <v>人民币</v>
      </c>
      <c r="S47" s="1" t="str">
        <f t="shared" si="20"/>
        <v>T4000707</v>
      </c>
    </row>
    <row r="48" spans="1:18">
      <c r="A48" s="1" t="str">
        <f t="shared" si="13"/>
        <v>20200720</v>
      </c>
      <c r="D48" s="1" t="str">
        <f t="shared" si="21"/>
        <v>偿还融券费用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-3.29</v>
      </c>
      <c r="O48" s="1">
        <v>27746.13</v>
      </c>
      <c r="P48" s="1">
        <v>0</v>
      </c>
      <c r="R48" s="1" t="str">
        <f t="shared" si="1"/>
        <v>人民币</v>
      </c>
    </row>
    <row r="49" spans="1:18">
      <c r="A49" s="1" t="str">
        <f t="shared" si="13"/>
        <v>20200720</v>
      </c>
      <c r="D49" s="1" t="str">
        <f t="shared" si="22"/>
        <v>偿还融资利息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-2.21</v>
      </c>
      <c r="O49" s="1">
        <v>27743.92</v>
      </c>
      <c r="P49" s="1">
        <v>0</v>
      </c>
      <c r="R49" s="1" t="str">
        <f t="shared" si="1"/>
        <v>人民币</v>
      </c>
    </row>
    <row r="50" spans="1:18">
      <c r="A50" s="1" t="str">
        <f t="shared" si="13"/>
        <v>20200720</v>
      </c>
      <c r="D50" s="1" t="str">
        <f t="shared" si="21"/>
        <v>偿还融券费用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-67.74</v>
      </c>
      <c r="O50" s="1">
        <v>27676.18</v>
      </c>
      <c r="P50" s="1">
        <v>0</v>
      </c>
      <c r="R50" s="1" t="str">
        <f t="shared" si="1"/>
        <v>人民币</v>
      </c>
    </row>
    <row r="51" spans="1:18">
      <c r="A51" s="1" t="str">
        <f t="shared" si="13"/>
        <v>20200720</v>
      </c>
      <c r="D51" s="1" t="str">
        <f t="shared" si="22"/>
        <v>偿还融资利息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-59.27</v>
      </c>
      <c r="O51" s="1">
        <v>27616.91</v>
      </c>
      <c r="P51" s="1">
        <v>0</v>
      </c>
      <c r="R51" s="1" t="str">
        <f t="shared" si="1"/>
        <v>人民币</v>
      </c>
    </row>
    <row r="52" spans="1:18">
      <c r="A52" s="1" t="str">
        <f t="shared" si="13"/>
        <v>20200720</v>
      </c>
      <c r="D52" s="1" t="str">
        <f t="shared" si="22"/>
        <v>偿还融资利息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-39.13</v>
      </c>
      <c r="O52" s="1">
        <v>27577.78</v>
      </c>
      <c r="P52" s="1">
        <v>0</v>
      </c>
      <c r="R52" s="1" t="str">
        <f t="shared" si="1"/>
        <v>人民币</v>
      </c>
    </row>
    <row r="53" spans="1:18">
      <c r="A53" s="1" t="str">
        <f t="shared" si="13"/>
        <v>20200720</v>
      </c>
      <c r="D53" s="1" t="str">
        <f t="shared" si="22"/>
        <v>偿还融资利息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-15.06</v>
      </c>
      <c r="O53" s="1">
        <v>27562.72</v>
      </c>
      <c r="P53" s="1">
        <v>0</v>
      </c>
      <c r="R53" s="1" t="str">
        <f t="shared" si="1"/>
        <v>人民币</v>
      </c>
    </row>
    <row r="54" spans="1:18">
      <c r="A54" s="1" t="str">
        <f t="shared" si="13"/>
        <v>20200720</v>
      </c>
      <c r="D54" s="1" t="str">
        <f t="shared" si="22"/>
        <v>偿还融资利息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-11.39</v>
      </c>
      <c r="O54" s="1">
        <v>27551.33</v>
      </c>
      <c r="P54" s="1">
        <v>0</v>
      </c>
      <c r="R54" s="1" t="str">
        <f t="shared" si="1"/>
        <v>人民币</v>
      </c>
    </row>
    <row r="55" spans="1:18">
      <c r="A55" s="1" t="str">
        <f t="shared" si="13"/>
        <v>20200720</v>
      </c>
      <c r="D55" s="1" t="str">
        <f t="shared" si="22"/>
        <v>偿还融资利息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-16.16</v>
      </c>
      <c r="O55" s="1">
        <v>27535.17</v>
      </c>
      <c r="P55" s="1">
        <v>0</v>
      </c>
      <c r="R55" s="1" t="str">
        <f t="shared" si="1"/>
        <v>人民币</v>
      </c>
    </row>
    <row r="56" spans="1:18">
      <c r="A56" s="1" t="str">
        <f>"20200721"</f>
        <v>20200721</v>
      </c>
      <c r="B56" s="1" t="str">
        <f>"000543"</f>
        <v>000543</v>
      </c>
      <c r="C56" s="1" t="str">
        <f>"皖能电力"</f>
        <v>皖能电力</v>
      </c>
      <c r="D56" s="1" t="str">
        <f>"股息红利差异扣税"</f>
        <v>股息红利差异扣税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-35.7</v>
      </c>
      <c r="O56" s="1">
        <v>27499.47</v>
      </c>
      <c r="P56" s="1">
        <v>0</v>
      </c>
      <c r="Q56" s="1" t="str">
        <f t="shared" ref="Q56:Q59" si="23">"0602175409"</f>
        <v>0602175409</v>
      </c>
      <c r="R56" s="1" t="str">
        <f t="shared" si="1"/>
        <v>人民币</v>
      </c>
    </row>
    <row r="57" spans="1:18">
      <c r="A57" s="1" t="str">
        <f>"20200721"</f>
        <v>20200721</v>
      </c>
      <c r="B57" s="1" t="str">
        <f t="shared" ref="B57:B62" si="24">"002183"</f>
        <v>002183</v>
      </c>
      <c r="C57" s="1" t="str">
        <f t="shared" ref="C57:C62" si="25">"怡 亚 通"</f>
        <v>怡 亚 通</v>
      </c>
      <c r="D57" s="1" t="str">
        <f>"股息红利差异扣税"</f>
        <v>股息红利差异扣税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-3</v>
      </c>
      <c r="O57" s="1">
        <v>27496.47</v>
      </c>
      <c r="P57" s="1">
        <v>0</v>
      </c>
      <c r="Q57" s="1" t="str">
        <f t="shared" si="23"/>
        <v>0602175409</v>
      </c>
      <c r="R57" s="1" t="str">
        <f t="shared" si="1"/>
        <v>人民币</v>
      </c>
    </row>
    <row r="58" spans="1:19">
      <c r="A58" s="1" t="str">
        <f t="shared" ref="A58:A61" si="26">"20200724"</f>
        <v>20200724</v>
      </c>
      <c r="B58" s="1" t="str">
        <f>"000543"</f>
        <v>000543</v>
      </c>
      <c r="C58" s="1" t="str">
        <f>"皖能电力"</f>
        <v>皖能电力</v>
      </c>
      <c r="D58" s="1" t="str">
        <f>"融资买入"</f>
        <v>融资买入</v>
      </c>
      <c r="E58" s="1">
        <v>4.12</v>
      </c>
      <c r="F58" s="1">
        <v>3000</v>
      </c>
      <c r="G58" s="1">
        <v>12360</v>
      </c>
      <c r="H58" s="1">
        <v>6.18</v>
      </c>
      <c r="I58" s="1">
        <v>5.09</v>
      </c>
      <c r="J58" s="1">
        <v>0</v>
      </c>
      <c r="K58" s="1">
        <v>0</v>
      </c>
      <c r="L58" s="1">
        <v>0</v>
      </c>
      <c r="M58" s="1">
        <v>0</v>
      </c>
      <c r="N58" s="1">
        <v>-12366.18</v>
      </c>
      <c r="O58" s="1">
        <v>15130.29</v>
      </c>
      <c r="P58" s="1">
        <v>22000</v>
      </c>
      <c r="Q58" s="1" t="str">
        <f t="shared" si="23"/>
        <v>0602175409</v>
      </c>
      <c r="R58" s="1" t="str">
        <f t="shared" si="1"/>
        <v>人民币</v>
      </c>
      <c r="S58" s="1" t="str">
        <f>"T4001134"</f>
        <v>T4001134</v>
      </c>
    </row>
    <row r="59" spans="1:19">
      <c r="A59" s="1" t="str">
        <f t="shared" si="26"/>
        <v>20200724</v>
      </c>
      <c r="B59" s="1" t="str">
        <f t="shared" si="24"/>
        <v>002183</v>
      </c>
      <c r="C59" s="1" t="str">
        <f t="shared" si="25"/>
        <v>怡 亚 通</v>
      </c>
      <c r="D59" s="1" t="str">
        <f>"融资买入"</f>
        <v>融资买入</v>
      </c>
      <c r="E59" s="1">
        <v>6.22</v>
      </c>
      <c r="F59" s="1">
        <v>3000</v>
      </c>
      <c r="G59" s="1">
        <v>18660</v>
      </c>
      <c r="H59" s="1">
        <v>9.33</v>
      </c>
      <c r="I59" s="1">
        <v>7.69</v>
      </c>
      <c r="J59" s="1">
        <v>0</v>
      </c>
      <c r="K59" s="1">
        <v>0</v>
      </c>
      <c r="L59" s="1">
        <v>0</v>
      </c>
      <c r="M59" s="1">
        <v>0</v>
      </c>
      <c r="N59" s="1">
        <v>-18669.33</v>
      </c>
      <c r="O59" s="1">
        <v>-3539.04</v>
      </c>
      <c r="P59" s="1">
        <v>15500</v>
      </c>
      <c r="Q59" s="1" t="str">
        <f t="shared" si="23"/>
        <v>0602175409</v>
      </c>
      <c r="R59" s="1" t="str">
        <f t="shared" si="1"/>
        <v>人民币</v>
      </c>
      <c r="S59" s="1" t="str">
        <f>"T4001139"</f>
        <v>T4001139</v>
      </c>
    </row>
    <row r="60" spans="1:19">
      <c r="A60" s="1" t="str">
        <f t="shared" si="26"/>
        <v>20200724</v>
      </c>
      <c r="D60" s="1" t="str">
        <f>"融资借入"</f>
        <v>融资借入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12366.18</v>
      </c>
      <c r="O60" s="1">
        <v>8827.14</v>
      </c>
      <c r="P60" s="1">
        <v>0</v>
      </c>
      <c r="R60" s="1" t="str">
        <f t="shared" si="1"/>
        <v>人民币</v>
      </c>
      <c r="S60" s="1" t="str">
        <f>"T4001134"</f>
        <v>T4001134</v>
      </c>
    </row>
    <row r="61" spans="1:19">
      <c r="A61" s="1" t="str">
        <f t="shared" si="26"/>
        <v>20200724</v>
      </c>
      <c r="D61" s="1" t="str">
        <f>"融资借入"</f>
        <v>融资借入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18669.33</v>
      </c>
      <c r="O61" s="1">
        <v>27496.47</v>
      </c>
      <c r="P61" s="1">
        <v>0</v>
      </c>
      <c r="R61" s="1" t="str">
        <f t="shared" si="1"/>
        <v>人民币</v>
      </c>
      <c r="S61" s="1" t="str">
        <f>"T4001139"</f>
        <v>T4001139</v>
      </c>
    </row>
    <row r="62" spans="1:19">
      <c r="A62" s="1" t="str">
        <f t="shared" ref="A62:A68" si="27">"20200728"</f>
        <v>20200728</v>
      </c>
      <c r="B62" s="1" t="str">
        <f t="shared" si="24"/>
        <v>002183</v>
      </c>
      <c r="C62" s="1" t="str">
        <f t="shared" si="25"/>
        <v>怡 亚 通</v>
      </c>
      <c r="D62" s="1" t="str">
        <f>"卖券还款"</f>
        <v>卖券还款</v>
      </c>
      <c r="E62" s="1">
        <v>5.92</v>
      </c>
      <c r="F62" s="1">
        <v>3000</v>
      </c>
      <c r="G62" s="1">
        <v>17760</v>
      </c>
      <c r="H62" s="1">
        <v>8.88</v>
      </c>
      <c r="I62" s="1">
        <v>7.29</v>
      </c>
      <c r="J62" s="1">
        <v>17.76</v>
      </c>
      <c r="K62" s="1">
        <v>0</v>
      </c>
      <c r="L62" s="1">
        <v>0</v>
      </c>
      <c r="M62" s="1">
        <v>0</v>
      </c>
      <c r="N62" s="1">
        <v>17733.36</v>
      </c>
      <c r="O62" s="1">
        <v>45229.83</v>
      </c>
      <c r="P62" s="1">
        <v>12500</v>
      </c>
      <c r="Q62" s="1" t="str">
        <f>"0602175409"</f>
        <v>0602175409</v>
      </c>
      <c r="R62" s="1" t="str">
        <f t="shared" si="1"/>
        <v>人民币</v>
      </c>
      <c r="S62" s="1" t="str">
        <f t="shared" ref="S62:S68" si="28">"T4000242"</f>
        <v>T4000242</v>
      </c>
    </row>
    <row r="63" spans="1:19">
      <c r="A63" s="1" t="str">
        <f t="shared" si="27"/>
        <v>20200728</v>
      </c>
      <c r="D63" s="1" t="str">
        <f>"偿还融券费用"</f>
        <v>偿还融券费用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-22.65</v>
      </c>
      <c r="O63" s="1">
        <v>45207.18</v>
      </c>
      <c r="P63" s="1">
        <v>0</v>
      </c>
      <c r="R63" s="1" t="str">
        <f t="shared" si="1"/>
        <v>人民币</v>
      </c>
      <c r="S63" s="1" t="str">
        <f t="shared" si="28"/>
        <v>T4000242</v>
      </c>
    </row>
    <row r="64" spans="1:19">
      <c r="A64" s="1" t="str">
        <f t="shared" si="27"/>
        <v>20200728</v>
      </c>
      <c r="D64" s="1" t="str">
        <f>"偿还融资利息"</f>
        <v>偿还融资利息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-15.47</v>
      </c>
      <c r="O64" s="1">
        <v>45191.71</v>
      </c>
      <c r="P64" s="1">
        <v>0</v>
      </c>
      <c r="R64" s="1" t="str">
        <f t="shared" si="1"/>
        <v>人民币</v>
      </c>
      <c r="S64" s="1" t="str">
        <f t="shared" si="28"/>
        <v>T4000242</v>
      </c>
    </row>
    <row r="65" spans="1:19">
      <c r="A65" s="1" t="str">
        <f t="shared" si="27"/>
        <v>20200728</v>
      </c>
      <c r="D65" s="1" t="str">
        <f>"偿还融资负债本金"</f>
        <v>偿还融资负债本金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-9523.95</v>
      </c>
      <c r="O65" s="1">
        <v>35667.76</v>
      </c>
      <c r="P65" s="1">
        <v>0</v>
      </c>
      <c r="R65" s="1" t="str">
        <f t="shared" si="1"/>
        <v>人民币</v>
      </c>
      <c r="S65" s="1" t="str">
        <f t="shared" si="28"/>
        <v>T4000242</v>
      </c>
    </row>
    <row r="66" spans="1:19">
      <c r="A66" s="1" t="str">
        <f t="shared" si="27"/>
        <v>20200728</v>
      </c>
      <c r="D66" s="1" t="str">
        <f>"偿还融券费用"</f>
        <v>偿还融券费用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-22.65</v>
      </c>
      <c r="O66" s="1">
        <v>35645.11</v>
      </c>
      <c r="P66" s="1">
        <v>0</v>
      </c>
      <c r="R66" s="1" t="str">
        <f t="shared" ref="R66:R129" si="29">"人民币"</f>
        <v>人民币</v>
      </c>
      <c r="S66" s="1" t="str">
        <f t="shared" si="28"/>
        <v>T4000242</v>
      </c>
    </row>
    <row r="67" spans="1:19">
      <c r="A67" s="1" t="str">
        <f t="shared" si="27"/>
        <v>20200728</v>
      </c>
      <c r="D67" s="1" t="str">
        <f>"偿还融资利息"</f>
        <v>偿还融资利息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-27.66</v>
      </c>
      <c r="O67" s="1">
        <v>35617.45</v>
      </c>
      <c r="P67" s="1">
        <v>0</v>
      </c>
      <c r="R67" s="1" t="str">
        <f t="shared" si="29"/>
        <v>人民币</v>
      </c>
      <c r="S67" s="1" t="str">
        <f t="shared" si="28"/>
        <v>T4000242</v>
      </c>
    </row>
    <row r="68" spans="1:19">
      <c r="A68" s="1" t="str">
        <f t="shared" si="27"/>
        <v>20200728</v>
      </c>
      <c r="D68" s="1" t="str">
        <f>"偿还融资负债本金"</f>
        <v>偿还融资负债本金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-8076.58</v>
      </c>
      <c r="O68" s="1">
        <v>27540.87</v>
      </c>
      <c r="P68" s="1">
        <v>0</v>
      </c>
      <c r="R68" s="1" t="str">
        <f t="shared" si="29"/>
        <v>人民币</v>
      </c>
      <c r="S68" s="1" t="str">
        <f t="shared" si="28"/>
        <v>T4000242</v>
      </c>
    </row>
    <row r="69" spans="1:18">
      <c r="A69" s="1" t="str">
        <f>"20200729"</f>
        <v>20200729</v>
      </c>
      <c r="B69" s="1" t="str">
        <f>"002183"</f>
        <v>002183</v>
      </c>
      <c r="C69" s="1" t="str">
        <f>"怡 亚 通"</f>
        <v>怡 亚 通</v>
      </c>
      <c r="D69" s="1" t="str">
        <f>"股息红利差异扣税"</f>
        <v>股息红利差异扣税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-3</v>
      </c>
      <c r="O69" s="1">
        <v>27537.87</v>
      </c>
      <c r="P69" s="1">
        <v>0</v>
      </c>
      <c r="Q69" s="1" t="str">
        <f>"0602175409"</f>
        <v>0602175409</v>
      </c>
      <c r="R69" s="1" t="str">
        <f t="shared" si="29"/>
        <v>人民币</v>
      </c>
    </row>
    <row r="70" spans="1:19">
      <c r="A70" s="1" t="str">
        <f t="shared" ref="A70:A81" si="30">"20200820"</f>
        <v>20200820</v>
      </c>
      <c r="B70" s="1" t="str">
        <f>"000543"</f>
        <v>000543</v>
      </c>
      <c r="C70" s="1" t="str">
        <f>"皖能电力"</f>
        <v>皖能电力</v>
      </c>
      <c r="D70" s="1" t="str">
        <f>"融资买入"</f>
        <v>融资买入</v>
      </c>
      <c r="E70" s="1">
        <v>4.25</v>
      </c>
      <c r="F70" s="1">
        <v>3000</v>
      </c>
      <c r="G70" s="1">
        <v>12750</v>
      </c>
      <c r="H70" s="1">
        <v>6.38</v>
      </c>
      <c r="I70" s="1">
        <v>5.24</v>
      </c>
      <c r="J70" s="1">
        <v>0</v>
      </c>
      <c r="K70" s="1">
        <v>0</v>
      </c>
      <c r="L70" s="1">
        <v>0</v>
      </c>
      <c r="M70" s="1">
        <v>0</v>
      </c>
      <c r="N70" s="1">
        <v>-12756.38</v>
      </c>
      <c r="O70" s="1">
        <v>14781.49</v>
      </c>
      <c r="P70" s="1">
        <v>25000</v>
      </c>
      <c r="Q70" s="1" t="str">
        <f>"0602175409"</f>
        <v>0602175409</v>
      </c>
      <c r="R70" s="1" t="str">
        <f t="shared" si="29"/>
        <v>人民币</v>
      </c>
      <c r="S70" s="1" t="str">
        <f>"T4000887"</f>
        <v>T4000887</v>
      </c>
    </row>
    <row r="71" spans="1:19">
      <c r="A71" s="1" t="str">
        <f t="shared" si="30"/>
        <v>20200820</v>
      </c>
      <c r="D71" s="1" t="str">
        <f>"融资借入"</f>
        <v>融资借入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12756.38</v>
      </c>
      <c r="O71" s="1">
        <v>27537.87</v>
      </c>
      <c r="P71" s="1">
        <v>0</v>
      </c>
      <c r="R71" s="1" t="str">
        <f t="shared" si="29"/>
        <v>人民币</v>
      </c>
      <c r="S71" s="1" t="str">
        <f>"T4000887"</f>
        <v>T4000887</v>
      </c>
    </row>
    <row r="72" spans="1:18">
      <c r="A72" s="1" t="str">
        <f t="shared" si="30"/>
        <v>20200820</v>
      </c>
      <c r="D72" s="1" t="str">
        <f>"偿还融券费用"</f>
        <v>偿还融券费用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-79.63</v>
      </c>
      <c r="O72" s="1">
        <v>27458.24</v>
      </c>
      <c r="P72" s="1">
        <v>0</v>
      </c>
      <c r="R72" s="1" t="str">
        <f t="shared" si="29"/>
        <v>人民币</v>
      </c>
    </row>
    <row r="73" spans="1:18">
      <c r="A73" s="1" t="str">
        <f t="shared" si="30"/>
        <v>20200820</v>
      </c>
      <c r="D73" s="1" t="str">
        <f>"偿还融券费用"</f>
        <v>偿还融券费用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-79.63</v>
      </c>
      <c r="O73" s="1">
        <v>27378.61</v>
      </c>
      <c r="P73" s="1">
        <v>0</v>
      </c>
      <c r="R73" s="1" t="str">
        <f t="shared" si="29"/>
        <v>人民币</v>
      </c>
    </row>
    <row r="74" spans="1:18">
      <c r="A74" s="1" t="str">
        <f t="shared" si="30"/>
        <v>20200820</v>
      </c>
      <c r="D74" s="1" t="str">
        <f t="shared" ref="D74:D81" si="31">"偿还融资利息"</f>
        <v>偿还融资利息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-49.92</v>
      </c>
      <c r="O74" s="1">
        <v>27328.69</v>
      </c>
      <c r="P74" s="1">
        <v>0</v>
      </c>
      <c r="R74" s="1" t="str">
        <f t="shared" si="29"/>
        <v>人民币</v>
      </c>
    </row>
    <row r="75" spans="1:18">
      <c r="A75" s="1" t="str">
        <f t="shared" si="30"/>
        <v>20200820</v>
      </c>
      <c r="D75" s="1" t="str">
        <f t="shared" si="31"/>
        <v>偿还融资利息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-93.31</v>
      </c>
      <c r="O75" s="1">
        <v>27235.38</v>
      </c>
      <c r="P75" s="1">
        <v>0</v>
      </c>
      <c r="R75" s="1" t="str">
        <f t="shared" si="29"/>
        <v>人民币</v>
      </c>
    </row>
    <row r="76" spans="1:18">
      <c r="A76" s="1" t="str">
        <f t="shared" si="30"/>
        <v>20200820</v>
      </c>
      <c r="D76" s="1" t="str">
        <f t="shared" si="31"/>
        <v>偿还融资利息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-93.35</v>
      </c>
      <c r="O76" s="1">
        <v>27142.03</v>
      </c>
      <c r="P76" s="1">
        <v>0</v>
      </c>
      <c r="R76" s="1" t="str">
        <f t="shared" si="29"/>
        <v>人民币</v>
      </c>
    </row>
    <row r="77" spans="1:18">
      <c r="A77" s="1" t="str">
        <f t="shared" si="30"/>
        <v>20200820</v>
      </c>
      <c r="D77" s="1" t="str">
        <f t="shared" si="31"/>
        <v>偿还融资利息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-88.31</v>
      </c>
      <c r="O77" s="1">
        <v>27053.72</v>
      </c>
      <c r="P77" s="1">
        <v>0</v>
      </c>
      <c r="R77" s="1" t="str">
        <f t="shared" si="29"/>
        <v>人民币</v>
      </c>
    </row>
    <row r="78" spans="1:18">
      <c r="A78" s="1" t="str">
        <f t="shared" si="30"/>
        <v>20200820</v>
      </c>
      <c r="D78" s="1" t="str">
        <f t="shared" si="31"/>
        <v>偿还融资利息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-125.24</v>
      </c>
      <c r="O78" s="1">
        <v>26928.48</v>
      </c>
      <c r="P78" s="1">
        <v>0</v>
      </c>
      <c r="R78" s="1" t="str">
        <f t="shared" si="29"/>
        <v>人民币</v>
      </c>
    </row>
    <row r="79" spans="1:18">
      <c r="A79" s="1" t="str">
        <f t="shared" si="30"/>
        <v>20200820</v>
      </c>
      <c r="D79" s="1" t="str">
        <f t="shared" si="31"/>
        <v>偿还融资利息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-80.36</v>
      </c>
      <c r="O79" s="1">
        <v>26848.12</v>
      </c>
      <c r="P79" s="1">
        <v>0</v>
      </c>
      <c r="R79" s="1" t="str">
        <f t="shared" si="29"/>
        <v>人民币</v>
      </c>
    </row>
    <row r="80" spans="1:18">
      <c r="A80" s="1" t="str">
        <f t="shared" si="30"/>
        <v>20200820</v>
      </c>
      <c r="D80" s="1" t="str">
        <f t="shared" si="31"/>
        <v>偿还融资利息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-121.24</v>
      </c>
      <c r="O80" s="1">
        <v>26726.88</v>
      </c>
      <c r="P80" s="1">
        <v>0</v>
      </c>
      <c r="R80" s="1" t="str">
        <f t="shared" si="29"/>
        <v>人民币</v>
      </c>
    </row>
    <row r="81" spans="1:18">
      <c r="A81" s="1" t="str">
        <f t="shared" si="30"/>
        <v>20200820</v>
      </c>
      <c r="D81" s="1" t="str">
        <f t="shared" si="31"/>
        <v>偿还融资利息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-2.96</v>
      </c>
      <c r="O81" s="1">
        <v>26723.92</v>
      </c>
      <c r="P81" s="1">
        <v>0</v>
      </c>
      <c r="R81" s="1" t="str">
        <f t="shared" si="29"/>
        <v>人民币</v>
      </c>
    </row>
    <row r="82" spans="1:18">
      <c r="A82" s="1" t="str">
        <f>"20200827"</f>
        <v>20200827</v>
      </c>
      <c r="B82" s="1" t="str">
        <f>"000601"</f>
        <v>000601</v>
      </c>
      <c r="C82" s="1" t="str">
        <f>"韶能股份"</f>
        <v>韶能股份</v>
      </c>
      <c r="D82" s="1" t="str">
        <f>"红利入账"</f>
        <v>红利入账</v>
      </c>
      <c r="E82" s="1">
        <v>0</v>
      </c>
      <c r="F82" s="1">
        <v>0</v>
      </c>
      <c r="G82" s="1">
        <v>7500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7500</v>
      </c>
      <c r="O82" s="1">
        <v>34223.92</v>
      </c>
      <c r="P82" s="1">
        <v>0</v>
      </c>
      <c r="Q82" s="1" t="str">
        <f>"0602175409"</f>
        <v>0602175409</v>
      </c>
      <c r="R82" s="1" t="str">
        <f t="shared" si="29"/>
        <v>人民币</v>
      </c>
    </row>
    <row r="83" spans="1:19">
      <c r="A83" s="1" t="str">
        <f t="shared" ref="A83:A89" si="32">"20200901"</f>
        <v>20200901</v>
      </c>
      <c r="B83" s="1" t="str">
        <f>"000543"</f>
        <v>000543</v>
      </c>
      <c r="C83" s="1" t="str">
        <f>"皖能电力"</f>
        <v>皖能电力</v>
      </c>
      <c r="D83" s="1" t="str">
        <f>"卖券还款"</f>
        <v>卖券还款</v>
      </c>
      <c r="E83" s="1">
        <v>4.38</v>
      </c>
      <c r="F83" s="1">
        <v>3000</v>
      </c>
      <c r="G83" s="1">
        <v>13140</v>
      </c>
      <c r="H83" s="1">
        <v>6.57</v>
      </c>
      <c r="I83" s="1">
        <v>5.4</v>
      </c>
      <c r="J83" s="1">
        <v>13.14</v>
      </c>
      <c r="K83" s="1">
        <v>0</v>
      </c>
      <c r="L83" s="1">
        <v>0</v>
      </c>
      <c r="M83" s="1">
        <v>0</v>
      </c>
      <c r="N83" s="1">
        <v>13120.29</v>
      </c>
      <c r="O83" s="1">
        <v>47344.21</v>
      </c>
      <c r="P83" s="1">
        <v>22000</v>
      </c>
      <c r="Q83" s="1" t="str">
        <f>"0602175409"</f>
        <v>0602175409</v>
      </c>
      <c r="R83" s="1" t="str">
        <f t="shared" si="29"/>
        <v>人民币</v>
      </c>
      <c r="S83" s="1" t="str">
        <f t="shared" ref="S83:S89" si="33">"T4000293"</f>
        <v>T4000293</v>
      </c>
    </row>
    <row r="84" spans="1:19">
      <c r="A84" s="1" t="str">
        <f t="shared" si="32"/>
        <v>20200901</v>
      </c>
      <c r="D84" s="1" t="str">
        <f>"偿还融券费用"</f>
        <v>偿还融券费用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-37</v>
      </c>
      <c r="O84" s="1">
        <v>47307.21</v>
      </c>
      <c r="P84" s="1">
        <v>0</v>
      </c>
      <c r="R84" s="1" t="str">
        <f t="shared" si="29"/>
        <v>人民币</v>
      </c>
      <c r="S84" s="1" t="str">
        <f t="shared" si="33"/>
        <v>T4000293</v>
      </c>
    </row>
    <row r="85" spans="1:19">
      <c r="A85" s="1" t="str">
        <f t="shared" si="32"/>
        <v>20200901</v>
      </c>
      <c r="D85" s="1" t="str">
        <f>"偿还融券费用"</f>
        <v>偿还融券费用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-37</v>
      </c>
      <c r="O85" s="1">
        <v>47270.21</v>
      </c>
      <c r="P85" s="1">
        <v>0</v>
      </c>
      <c r="R85" s="1" t="str">
        <f t="shared" si="29"/>
        <v>人民币</v>
      </c>
      <c r="S85" s="1" t="str">
        <f t="shared" si="33"/>
        <v>T4000293</v>
      </c>
    </row>
    <row r="86" spans="1:19">
      <c r="A86" s="1" t="str">
        <f t="shared" si="32"/>
        <v>20200901</v>
      </c>
      <c r="D86" s="1" t="str">
        <f>"偿还融资利息"</f>
        <v>偿还融资利息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-22.88</v>
      </c>
      <c r="O86" s="1">
        <v>47247.33</v>
      </c>
      <c r="P86" s="1">
        <v>0</v>
      </c>
      <c r="R86" s="1" t="str">
        <f t="shared" si="29"/>
        <v>人民币</v>
      </c>
      <c r="S86" s="1" t="str">
        <f t="shared" si="33"/>
        <v>T4000293</v>
      </c>
    </row>
    <row r="87" spans="1:19">
      <c r="A87" s="1" t="str">
        <f t="shared" si="32"/>
        <v>20200901</v>
      </c>
      <c r="D87" s="1" t="str">
        <f>"偿还融资负债本金"</f>
        <v>偿还融资负债本金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-8971.94</v>
      </c>
      <c r="O87" s="1">
        <v>38275.39</v>
      </c>
      <c r="P87" s="1">
        <v>0</v>
      </c>
      <c r="R87" s="1" t="str">
        <f t="shared" si="29"/>
        <v>人民币</v>
      </c>
      <c r="S87" s="1" t="str">
        <f t="shared" si="33"/>
        <v>T4000293</v>
      </c>
    </row>
    <row r="88" spans="1:19">
      <c r="A88" s="1" t="str">
        <f t="shared" si="32"/>
        <v>20200901</v>
      </c>
      <c r="D88" s="1" t="str">
        <f>"偿还融资利息"</f>
        <v>偿还融资利息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-33.11</v>
      </c>
      <c r="O88" s="1">
        <v>38242.28</v>
      </c>
      <c r="P88" s="1">
        <v>0</v>
      </c>
      <c r="R88" s="1" t="str">
        <f t="shared" si="29"/>
        <v>人民币</v>
      </c>
      <c r="S88" s="1" t="str">
        <f t="shared" si="33"/>
        <v>T4000293</v>
      </c>
    </row>
    <row r="89" spans="1:19">
      <c r="A89" s="1" t="str">
        <f t="shared" si="32"/>
        <v>20200901</v>
      </c>
      <c r="D89" s="1" t="str">
        <f>"偿还融资负债本金"</f>
        <v>偿还融资负债本金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-3985.51</v>
      </c>
      <c r="O89" s="1">
        <v>34256.77</v>
      </c>
      <c r="P89" s="1">
        <v>0</v>
      </c>
      <c r="R89" s="1" t="str">
        <f t="shared" si="29"/>
        <v>人民币</v>
      </c>
      <c r="S89" s="1" t="str">
        <f t="shared" si="33"/>
        <v>T4000293</v>
      </c>
    </row>
    <row r="90" spans="1:18">
      <c r="A90" s="1" t="str">
        <f>"20200902"</f>
        <v>20200902</v>
      </c>
      <c r="B90" s="1" t="str">
        <f>"000543"</f>
        <v>000543</v>
      </c>
      <c r="C90" s="1" t="str">
        <f>"皖能电力"</f>
        <v>皖能电力</v>
      </c>
      <c r="D90" s="1" t="str">
        <f>"股息红利差异扣税"</f>
        <v>股息红利差异扣税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-35.7</v>
      </c>
      <c r="O90" s="1">
        <v>34221.07</v>
      </c>
      <c r="P90" s="1">
        <v>0</v>
      </c>
      <c r="Q90" s="1" t="str">
        <f>"0602175409"</f>
        <v>0602175409</v>
      </c>
      <c r="R90" s="1" t="str">
        <f t="shared" si="29"/>
        <v>人民币</v>
      </c>
    </row>
    <row r="91" spans="1:18">
      <c r="A91" s="1" t="str">
        <f t="shared" ref="A91:A94" si="34">"20200904"</f>
        <v>20200904</v>
      </c>
      <c r="D91" s="1" t="str">
        <f>"偿还融券费用"</f>
        <v>偿还融券费用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-10.23</v>
      </c>
      <c r="O91" s="1">
        <v>34210.84</v>
      </c>
      <c r="P91" s="1">
        <v>0</v>
      </c>
      <c r="R91" s="1" t="str">
        <f t="shared" si="29"/>
        <v>人民币</v>
      </c>
    </row>
    <row r="92" spans="1:18">
      <c r="A92" s="1" t="str">
        <f t="shared" si="34"/>
        <v>20200904</v>
      </c>
      <c r="D92" s="1" t="str">
        <f>"偿还融券费用"</f>
        <v>偿还融券费用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-10.23</v>
      </c>
      <c r="O92" s="1">
        <v>34200.61</v>
      </c>
      <c r="P92" s="1">
        <v>0</v>
      </c>
      <c r="R92" s="1" t="str">
        <f t="shared" si="29"/>
        <v>人民币</v>
      </c>
    </row>
    <row r="93" spans="1:18">
      <c r="A93" s="1" t="str">
        <f t="shared" si="34"/>
        <v>20200904</v>
      </c>
      <c r="D93" s="1" t="str">
        <f>"偿还融资利息"</f>
        <v>偿还融资利息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-6.27</v>
      </c>
      <c r="O93" s="1">
        <v>34194.34</v>
      </c>
      <c r="P93" s="1">
        <v>0</v>
      </c>
      <c r="R93" s="1" t="str">
        <f t="shared" si="29"/>
        <v>人民币</v>
      </c>
    </row>
    <row r="94" spans="1:18">
      <c r="A94" s="1" t="str">
        <f t="shared" si="34"/>
        <v>20200904</v>
      </c>
      <c r="D94" s="1" t="str">
        <f>"偿还融资负债本金"</f>
        <v>偿还融资负债本金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-5973.27</v>
      </c>
      <c r="O94" s="1">
        <v>28221.07</v>
      </c>
      <c r="P94" s="1">
        <v>0</v>
      </c>
      <c r="R94" s="1" t="str">
        <f t="shared" si="29"/>
        <v>人民币</v>
      </c>
    </row>
    <row r="95" spans="1:19">
      <c r="A95" s="1" t="str">
        <f>"20200907"</f>
        <v>20200907</v>
      </c>
      <c r="B95" s="1" t="str">
        <f>"000543"</f>
        <v>000543</v>
      </c>
      <c r="C95" s="1" t="str">
        <f>"皖能电力"</f>
        <v>皖能电力</v>
      </c>
      <c r="D95" s="1" t="str">
        <f>"融资买入"</f>
        <v>融资买入</v>
      </c>
      <c r="E95" s="1">
        <v>4.24</v>
      </c>
      <c r="F95" s="1">
        <v>3000</v>
      </c>
      <c r="G95" s="1">
        <v>12720</v>
      </c>
      <c r="H95" s="1">
        <v>6.36</v>
      </c>
      <c r="I95" s="1">
        <v>5.23</v>
      </c>
      <c r="J95" s="1">
        <v>0</v>
      </c>
      <c r="K95" s="1">
        <v>0</v>
      </c>
      <c r="L95" s="1">
        <v>0</v>
      </c>
      <c r="M95" s="1">
        <v>0</v>
      </c>
      <c r="N95" s="1">
        <v>-12726.36</v>
      </c>
      <c r="O95" s="1">
        <v>15494.71</v>
      </c>
      <c r="P95" s="1">
        <v>25000</v>
      </c>
      <c r="Q95" s="1" t="str">
        <f t="shared" ref="Q95:Q101" si="35">"0602175409"</f>
        <v>0602175409</v>
      </c>
      <c r="R95" s="1" t="str">
        <f t="shared" si="29"/>
        <v>人民币</v>
      </c>
      <c r="S95" s="1" t="str">
        <f>"T4002045"</f>
        <v>T4002045</v>
      </c>
    </row>
    <row r="96" spans="1:19">
      <c r="A96" s="1" t="str">
        <f>"20200907"</f>
        <v>20200907</v>
      </c>
      <c r="D96" s="1" t="str">
        <f>"融资借入"</f>
        <v>融资借入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12726.36</v>
      </c>
      <c r="O96" s="1">
        <v>28221.07</v>
      </c>
      <c r="P96" s="1">
        <v>0</v>
      </c>
      <c r="R96" s="1" t="str">
        <f t="shared" si="29"/>
        <v>人民币</v>
      </c>
      <c r="S96" s="1" t="str">
        <f>"T4002045"</f>
        <v>T4002045</v>
      </c>
    </row>
    <row r="97" spans="1:19">
      <c r="A97" s="1" t="str">
        <f>"20200908"</f>
        <v>20200908</v>
      </c>
      <c r="B97" s="1" t="str">
        <f>"002183"</f>
        <v>002183</v>
      </c>
      <c r="C97" s="1" t="str">
        <f>"怡 亚 通"</f>
        <v>怡 亚 通</v>
      </c>
      <c r="D97" s="1" t="str">
        <f>"融资买入"</f>
        <v>融资买入</v>
      </c>
      <c r="E97" s="1">
        <v>5.22</v>
      </c>
      <c r="F97" s="1">
        <v>3000</v>
      </c>
      <c r="G97" s="1">
        <v>15660</v>
      </c>
      <c r="H97" s="1">
        <v>7.83</v>
      </c>
      <c r="I97" s="1">
        <v>6.45</v>
      </c>
      <c r="J97" s="1">
        <v>0</v>
      </c>
      <c r="K97" s="1">
        <v>0</v>
      </c>
      <c r="L97" s="1">
        <v>0</v>
      </c>
      <c r="M97" s="1">
        <v>0</v>
      </c>
      <c r="N97" s="1">
        <v>-15667.83</v>
      </c>
      <c r="O97" s="1">
        <v>12553.24</v>
      </c>
      <c r="P97" s="1">
        <v>15500</v>
      </c>
      <c r="Q97" s="1" t="str">
        <f t="shared" si="35"/>
        <v>0602175409</v>
      </c>
      <c r="R97" s="1" t="str">
        <f t="shared" si="29"/>
        <v>人民币</v>
      </c>
      <c r="S97" s="1" t="str">
        <f>"T4001608"</f>
        <v>T4001608</v>
      </c>
    </row>
    <row r="98" spans="1:19">
      <c r="A98" s="1" t="str">
        <f>"20200908"</f>
        <v>20200908</v>
      </c>
      <c r="D98" s="1" t="str">
        <f>"融资借入"</f>
        <v>融资借入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15667.83</v>
      </c>
      <c r="O98" s="1">
        <v>28221.07</v>
      </c>
      <c r="P98" s="1">
        <v>0</v>
      </c>
      <c r="R98" s="1" t="str">
        <f t="shared" si="29"/>
        <v>人民币</v>
      </c>
      <c r="S98" s="1" t="str">
        <f>"T4001608"</f>
        <v>T4001608</v>
      </c>
    </row>
    <row r="99" spans="1:19">
      <c r="A99" s="1" t="str">
        <f t="shared" ref="A99:A113" si="36">"20200909"</f>
        <v>20200909</v>
      </c>
      <c r="B99" s="1" t="str">
        <f>"000543"</f>
        <v>000543</v>
      </c>
      <c r="C99" s="1" t="str">
        <f>"皖能电力"</f>
        <v>皖能电力</v>
      </c>
      <c r="D99" s="1" t="str">
        <f t="shared" ref="D99:D101" si="37">"卖券还款"</f>
        <v>卖券还款</v>
      </c>
      <c r="E99" s="1">
        <v>4.35</v>
      </c>
      <c r="F99" s="1">
        <v>3000</v>
      </c>
      <c r="G99" s="1">
        <v>13050</v>
      </c>
      <c r="H99" s="1">
        <v>6.53</v>
      </c>
      <c r="I99" s="1">
        <v>5.37</v>
      </c>
      <c r="J99" s="1">
        <v>13.05</v>
      </c>
      <c r="K99" s="1">
        <v>0</v>
      </c>
      <c r="L99" s="1">
        <v>0</v>
      </c>
      <c r="M99" s="1">
        <v>0</v>
      </c>
      <c r="N99" s="1">
        <v>13030.42</v>
      </c>
      <c r="O99" s="1">
        <v>41251.49</v>
      </c>
      <c r="P99" s="1">
        <v>22000</v>
      </c>
      <c r="Q99" s="1" t="str">
        <f t="shared" si="35"/>
        <v>0602175409</v>
      </c>
      <c r="R99" s="1" t="str">
        <f t="shared" si="29"/>
        <v>人民币</v>
      </c>
      <c r="S99" s="1" t="str">
        <f t="shared" ref="S99:S107" si="38">"T4000394"</f>
        <v>T4000394</v>
      </c>
    </row>
    <row r="100" spans="1:19">
      <c r="A100" s="1" t="str">
        <f t="shared" si="36"/>
        <v>20200909</v>
      </c>
      <c r="B100" s="1" t="str">
        <f>"002183"</f>
        <v>002183</v>
      </c>
      <c r="C100" s="1" t="str">
        <f>"怡 亚 通"</f>
        <v>怡 亚 通</v>
      </c>
      <c r="D100" s="1" t="str">
        <f t="shared" si="37"/>
        <v>卖券还款</v>
      </c>
      <c r="E100" s="1">
        <v>5.33</v>
      </c>
      <c r="F100" s="1">
        <v>3000</v>
      </c>
      <c r="G100" s="1">
        <v>15990</v>
      </c>
      <c r="H100" s="1">
        <v>8</v>
      </c>
      <c r="I100" s="1">
        <v>6.58</v>
      </c>
      <c r="J100" s="1">
        <v>15.99</v>
      </c>
      <c r="K100" s="1">
        <v>0</v>
      </c>
      <c r="L100" s="1">
        <v>0</v>
      </c>
      <c r="M100" s="1">
        <v>0</v>
      </c>
      <c r="N100" s="1">
        <v>15966.01</v>
      </c>
      <c r="O100" s="1">
        <v>57217.5</v>
      </c>
      <c r="P100" s="1">
        <v>12500</v>
      </c>
      <c r="Q100" s="1" t="str">
        <f t="shared" si="35"/>
        <v>0602175409</v>
      </c>
      <c r="R100" s="1" t="str">
        <f t="shared" si="29"/>
        <v>人民币</v>
      </c>
      <c r="S100" s="1" t="str">
        <f>"T4000440"</f>
        <v>T4000440</v>
      </c>
    </row>
    <row r="101" spans="1:19">
      <c r="A101" s="1" t="str">
        <f t="shared" si="36"/>
        <v>20200909</v>
      </c>
      <c r="B101" s="1" t="str">
        <f>"000543"</f>
        <v>000543</v>
      </c>
      <c r="C101" s="1" t="str">
        <f>"皖能电力"</f>
        <v>皖能电力</v>
      </c>
      <c r="D101" s="1" t="str">
        <f t="shared" si="37"/>
        <v>卖券还款</v>
      </c>
      <c r="E101" s="1">
        <v>4.38</v>
      </c>
      <c r="F101" s="1">
        <v>3000</v>
      </c>
      <c r="G101" s="1">
        <v>13140</v>
      </c>
      <c r="H101" s="1">
        <v>6.57</v>
      </c>
      <c r="I101" s="1">
        <v>5.41</v>
      </c>
      <c r="J101" s="1">
        <v>13.14</v>
      </c>
      <c r="K101" s="1">
        <v>0</v>
      </c>
      <c r="L101" s="1">
        <v>0</v>
      </c>
      <c r="M101" s="1">
        <v>0</v>
      </c>
      <c r="N101" s="1">
        <v>13120.29</v>
      </c>
      <c r="O101" s="1">
        <v>70337.79</v>
      </c>
      <c r="P101" s="1">
        <v>19000</v>
      </c>
      <c r="Q101" s="1" t="str">
        <f t="shared" si="35"/>
        <v>0602175409</v>
      </c>
      <c r="R101" s="1" t="str">
        <f t="shared" si="29"/>
        <v>人民币</v>
      </c>
      <c r="S101" s="1" t="str">
        <f>"T4001957"</f>
        <v>T4001957</v>
      </c>
    </row>
    <row r="102" spans="1:19">
      <c r="A102" s="1" t="str">
        <f t="shared" si="36"/>
        <v>20200909</v>
      </c>
      <c r="D102" s="1" t="str">
        <f>"偿还融券费用"</f>
        <v>偿还融券费用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-16.68</v>
      </c>
      <c r="O102" s="1">
        <v>70321.11</v>
      </c>
      <c r="P102" s="1">
        <v>0</v>
      </c>
      <c r="R102" s="1" t="str">
        <f t="shared" si="29"/>
        <v>人民币</v>
      </c>
      <c r="S102" s="1" t="str">
        <f t="shared" si="38"/>
        <v>T4000394</v>
      </c>
    </row>
    <row r="103" spans="1:19">
      <c r="A103" s="1" t="str">
        <f t="shared" si="36"/>
        <v>20200909</v>
      </c>
      <c r="D103" s="1" t="str">
        <f>"偿还融券费用"</f>
        <v>偿还融券费用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-16.68</v>
      </c>
      <c r="O103" s="1">
        <v>70304.43</v>
      </c>
      <c r="P103" s="1">
        <v>0</v>
      </c>
      <c r="R103" s="1" t="str">
        <f t="shared" si="29"/>
        <v>人民币</v>
      </c>
      <c r="S103" s="1" t="str">
        <f t="shared" si="38"/>
        <v>T4000394</v>
      </c>
    </row>
    <row r="104" spans="1:19">
      <c r="A104" s="1" t="str">
        <f t="shared" si="36"/>
        <v>20200909</v>
      </c>
      <c r="D104" s="1" t="str">
        <f t="shared" ref="D104:D109" si="39">"偿还融资利息"</f>
        <v>偿还融资利息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-3.5</v>
      </c>
      <c r="O104" s="1">
        <v>70300.93</v>
      </c>
      <c r="P104" s="1">
        <v>0</v>
      </c>
      <c r="R104" s="1" t="str">
        <f t="shared" si="29"/>
        <v>人民币</v>
      </c>
      <c r="S104" s="1" t="str">
        <f t="shared" si="38"/>
        <v>T4000394</v>
      </c>
    </row>
    <row r="105" spans="1:19">
      <c r="A105" s="1" t="str">
        <f t="shared" si="36"/>
        <v>20200909</v>
      </c>
      <c r="D105" s="1" t="str">
        <f t="shared" ref="D105:D108" si="40">"偿还融资负债本金"</f>
        <v>偿还融资负债本金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-3017.97</v>
      </c>
      <c r="O105" s="1">
        <v>67282.96</v>
      </c>
      <c r="P105" s="1">
        <v>0</v>
      </c>
      <c r="R105" s="1" t="str">
        <f t="shared" si="29"/>
        <v>人民币</v>
      </c>
      <c r="S105" s="1" t="str">
        <f t="shared" si="38"/>
        <v>T4000394</v>
      </c>
    </row>
    <row r="106" spans="1:19">
      <c r="A106" s="1" t="str">
        <f t="shared" si="36"/>
        <v>20200909</v>
      </c>
      <c r="D106" s="1" t="str">
        <f t="shared" si="39"/>
        <v>偿还融资利息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-57.22</v>
      </c>
      <c r="O106" s="1">
        <v>67225.74</v>
      </c>
      <c r="P106" s="1">
        <v>0</v>
      </c>
      <c r="R106" s="1" t="str">
        <f t="shared" si="29"/>
        <v>人民币</v>
      </c>
      <c r="S106" s="1" t="str">
        <f t="shared" si="38"/>
        <v>T4000394</v>
      </c>
    </row>
    <row r="107" spans="1:19">
      <c r="A107" s="1" t="str">
        <f t="shared" si="36"/>
        <v>20200909</v>
      </c>
      <c r="D107" s="1" t="str">
        <f t="shared" si="40"/>
        <v>偿还融资负债本金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-9885.75</v>
      </c>
      <c r="O107" s="1">
        <v>57339.99</v>
      </c>
      <c r="P107" s="1">
        <v>0</v>
      </c>
      <c r="R107" s="1" t="str">
        <f t="shared" si="29"/>
        <v>人民币</v>
      </c>
      <c r="S107" s="1" t="str">
        <f t="shared" si="38"/>
        <v>T4000394</v>
      </c>
    </row>
    <row r="108" spans="1:19">
      <c r="A108" s="1" t="str">
        <f t="shared" si="36"/>
        <v>20200909</v>
      </c>
      <c r="D108" s="1" t="str">
        <f t="shared" si="40"/>
        <v>偿还融资负债本金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-3111.01</v>
      </c>
      <c r="O108" s="1">
        <v>54228.98</v>
      </c>
      <c r="P108" s="1">
        <v>0</v>
      </c>
      <c r="R108" s="1" t="str">
        <f t="shared" si="29"/>
        <v>人民币</v>
      </c>
      <c r="S108" s="1" t="str">
        <f t="shared" ref="S108:S112" si="41">"T4000440"</f>
        <v>T4000440</v>
      </c>
    </row>
    <row r="109" spans="1:19">
      <c r="A109" s="1" t="str">
        <f t="shared" si="36"/>
        <v>20200909</v>
      </c>
      <c r="D109" s="1" t="str">
        <f t="shared" si="39"/>
        <v>偿还融资利息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-54.12</v>
      </c>
      <c r="O109" s="1">
        <v>54174.86</v>
      </c>
      <c r="P109" s="1">
        <v>0</v>
      </c>
      <c r="R109" s="1" t="str">
        <f t="shared" si="29"/>
        <v>人民币</v>
      </c>
      <c r="S109" s="1" t="str">
        <f t="shared" si="41"/>
        <v>T4000440</v>
      </c>
    </row>
    <row r="110" spans="1:19">
      <c r="A110" s="1" t="str">
        <f t="shared" si="36"/>
        <v>20200909</v>
      </c>
      <c r="D110" s="1" t="str">
        <f t="shared" ref="D110:D113" si="42">"偿还融资负债本金"</f>
        <v>偿还融资负债本金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-12276.14</v>
      </c>
      <c r="O110" s="1">
        <v>41898.72</v>
      </c>
      <c r="P110" s="1">
        <v>0</v>
      </c>
      <c r="R110" s="1" t="str">
        <f t="shared" si="29"/>
        <v>人民币</v>
      </c>
      <c r="S110" s="1" t="str">
        <f t="shared" si="41"/>
        <v>T4000440</v>
      </c>
    </row>
    <row r="111" spans="1:19">
      <c r="A111" s="1" t="str">
        <f t="shared" si="36"/>
        <v>20200909</v>
      </c>
      <c r="D111" s="1" t="str">
        <f>"偿还融资利息"</f>
        <v>偿还融资利息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-76.76</v>
      </c>
      <c r="O111" s="1">
        <v>41821.96</v>
      </c>
      <c r="P111" s="1">
        <v>0</v>
      </c>
      <c r="R111" s="1" t="str">
        <f t="shared" si="29"/>
        <v>人民币</v>
      </c>
      <c r="S111" s="1" t="str">
        <f t="shared" si="41"/>
        <v>T4000440</v>
      </c>
    </row>
    <row r="112" spans="1:19">
      <c r="A112" s="1" t="str">
        <f t="shared" si="36"/>
        <v>20200909</v>
      </c>
      <c r="D112" s="1" t="str">
        <f t="shared" si="42"/>
        <v>偿还融资负债本金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-408.01</v>
      </c>
      <c r="O112" s="1">
        <v>41413.95</v>
      </c>
      <c r="P112" s="1">
        <v>0</v>
      </c>
      <c r="R112" s="1" t="str">
        <f t="shared" si="29"/>
        <v>人民币</v>
      </c>
      <c r="S112" s="1" t="str">
        <f t="shared" si="41"/>
        <v>T4000440</v>
      </c>
    </row>
    <row r="113" spans="1:19">
      <c r="A113" s="1" t="str">
        <f t="shared" si="36"/>
        <v>20200909</v>
      </c>
      <c r="D113" s="1" t="str">
        <f t="shared" si="42"/>
        <v>偿还融资负债本金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-13087.44</v>
      </c>
      <c r="O113" s="1">
        <v>28326.51</v>
      </c>
      <c r="P113" s="1">
        <v>0</v>
      </c>
      <c r="R113" s="1" t="str">
        <f t="shared" si="29"/>
        <v>人民币</v>
      </c>
      <c r="S113" s="1" t="str">
        <f>"T4001957"</f>
        <v>T4001957</v>
      </c>
    </row>
    <row r="114" spans="1:18">
      <c r="A114" s="1" t="str">
        <f>"20200910"</f>
        <v>20200910</v>
      </c>
      <c r="B114" s="1" t="str">
        <f>"002183"</f>
        <v>002183</v>
      </c>
      <c r="C114" s="1" t="str">
        <f>"怡 亚 通"</f>
        <v>怡 亚 通</v>
      </c>
      <c r="D114" s="1" t="str">
        <f>"股息红利差异扣税"</f>
        <v>股息红利差异扣税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-3</v>
      </c>
      <c r="O114" s="1">
        <v>28323.51</v>
      </c>
      <c r="P114" s="1">
        <v>0</v>
      </c>
      <c r="Q114" s="1" t="str">
        <f t="shared" ref="Q114:Q116" si="43">"0602175409"</f>
        <v>0602175409</v>
      </c>
      <c r="R114" s="1" t="str">
        <f t="shared" si="29"/>
        <v>人民币</v>
      </c>
    </row>
    <row r="115" spans="1:18">
      <c r="A115" s="1" t="str">
        <f>"20200910"</f>
        <v>20200910</v>
      </c>
      <c r="B115" s="1" t="str">
        <f t="shared" ref="B115:B119" si="44">"000543"</f>
        <v>000543</v>
      </c>
      <c r="C115" s="1" t="str">
        <f t="shared" ref="C115:C119" si="45">"皖能电力"</f>
        <v>皖能电力</v>
      </c>
      <c r="D115" s="1" t="str">
        <f>"股息红利差异扣税"</f>
        <v>股息红利差异扣税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-71.4</v>
      </c>
      <c r="O115" s="1">
        <v>28252.11</v>
      </c>
      <c r="P115" s="1">
        <v>0</v>
      </c>
      <c r="Q115" s="1" t="str">
        <f t="shared" si="43"/>
        <v>0602175409</v>
      </c>
      <c r="R115" s="1" t="str">
        <f t="shared" si="29"/>
        <v>人民币</v>
      </c>
    </row>
    <row r="116" spans="1:19">
      <c r="A116" s="1" t="str">
        <f>"20200914"</f>
        <v>20200914</v>
      </c>
      <c r="B116" s="1" t="str">
        <f t="shared" si="44"/>
        <v>000543</v>
      </c>
      <c r="C116" s="1" t="str">
        <f t="shared" si="45"/>
        <v>皖能电力</v>
      </c>
      <c r="D116" s="1" t="str">
        <f>"融资买入"</f>
        <v>融资买入</v>
      </c>
      <c r="E116" s="1">
        <v>4.24</v>
      </c>
      <c r="F116" s="1">
        <v>3000</v>
      </c>
      <c r="G116" s="1">
        <v>12720</v>
      </c>
      <c r="H116" s="1">
        <v>6.36</v>
      </c>
      <c r="I116" s="1">
        <v>5.23</v>
      </c>
      <c r="J116" s="1">
        <v>0</v>
      </c>
      <c r="K116" s="1">
        <v>0</v>
      </c>
      <c r="L116" s="1">
        <v>0</v>
      </c>
      <c r="M116" s="1">
        <v>0</v>
      </c>
      <c r="N116" s="1">
        <v>-12726.36</v>
      </c>
      <c r="O116" s="1">
        <v>15525.75</v>
      </c>
      <c r="P116" s="1">
        <v>22000</v>
      </c>
      <c r="Q116" s="1" t="str">
        <f t="shared" si="43"/>
        <v>0602175409</v>
      </c>
      <c r="R116" s="1" t="str">
        <f t="shared" si="29"/>
        <v>人民币</v>
      </c>
      <c r="S116" s="1" t="str">
        <f>"T4001363"</f>
        <v>T4001363</v>
      </c>
    </row>
    <row r="117" spans="1:19">
      <c r="A117" s="1" t="str">
        <f>"20200914"</f>
        <v>20200914</v>
      </c>
      <c r="D117" s="1" t="str">
        <f>"融资借入"</f>
        <v>融资借入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12726.36</v>
      </c>
      <c r="O117" s="1">
        <v>28252.11</v>
      </c>
      <c r="P117" s="1">
        <v>0</v>
      </c>
      <c r="R117" s="1" t="str">
        <f t="shared" si="29"/>
        <v>人民币</v>
      </c>
      <c r="S117" s="1" t="str">
        <f>"T4001363"</f>
        <v>T4001363</v>
      </c>
    </row>
    <row r="118" spans="1:18">
      <c r="A118" s="1" t="str">
        <f t="shared" ref="A118:A133" si="46">"20200918"</f>
        <v>20200918</v>
      </c>
      <c r="D118" s="1" t="str">
        <f>"利息归本"</f>
        <v>利息归本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21.86</v>
      </c>
      <c r="O118" s="1">
        <v>28273.97</v>
      </c>
      <c r="P118" s="1">
        <v>0</v>
      </c>
      <c r="R118" s="1" t="str">
        <f t="shared" si="29"/>
        <v>人民币</v>
      </c>
    </row>
    <row r="119" spans="1:19">
      <c r="A119" s="1" t="str">
        <f t="shared" si="46"/>
        <v>20200918</v>
      </c>
      <c r="B119" s="1" t="str">
        <f t="shared" si="44"/>
        <v>000543</v>
      </c>
      <c r="C119" s="1" t="str">
        <f t="shared" si="45"/>
        <v>皖能电力</v>
      </c>
      <c r="D119" s="1" t="str">
        <f>"卖券还款"</f>
        <v>卖券还款</v>
      </c>
      <c r="E119" s="1">
        <v>4.35</v>
      </c>
      <c r="F119" s="1">
        <v>3000</v>
      </c>
      <c r="G119" s="1">
        <v>13050</v>
      </c>
      <c r="H119" s="1">
        <v>6.53</v>
      </c>
      <c r="I119" s="1">
        <v>5.37</v>
      </c>
      <c r="J119" s="1">
        <v>13.05</v>
      </c>
      <c r="K119" s="1">
        <v>0</v>
      </c>
      <c r="L119" s="1">
        <v>0</v>
      </c>
      <c r="M119" s="1">
        <v>0</v>
      </c>
      <c r="N119" s="1">
        <v>13030.42</v>
      </c>
      <c r="O119" s="1">
        <v>41304.39</v>
      </c>
      <c r="P119" s="1">
        <v>19000</v>
      </c>
      <c r="Q119" s="1" t="str">
        <f>"0602175409"</f>
        <v>0602175409</v>
      </c>
      <c r="R119" s="1" t="str">
        <f t="shared" si="29"/>
        <v>人民币</v>
      </c>
      <c r="S119" s="1" t="str">
        <f t="shared" ref="S119:S125" si="47">"T4000864"</f>
        <v>T4000864</v>
      </c>
    </row>
    <row r="120" spans="1:19">
      <c r="A120" s="1" t="str">
        <f t="shared" si="46"/>
        <v>20200918</v>
      </c>
      <c r="D120" s="1" t="str">
        <f>"偿还融券费用"</f>
        <v>偿还融券费用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-29.36</v>
      </c>
      <c r="O120" s="1">
        <v>41275.03</v>
      </c>
      <c r="P120" s="1">
        <v>0</v>
      </c>
      <c r="R120" s="1" t="str">
        <f t="shared" si="29"/>
        <v>人民币</v>
      </c>
      <c r="S120" s="1" t="str">
        <f t="shared" si="47"/>
        <v>T4000864</v>
      </c>
    </row>
    <row r="121" spans="1:19">
      <c r="A121" s="1" t="str">
        <f t="shared" si="46"/>
        <v>20200918</v>
      </c>
      <c r="D121" s="1" t="str">
        <f>"偿还融券费用"</f>
        <v>偿还融券费用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-29.36</v>
      </c>
      <c r="O121" s="1">
        <v>41245.67</v>
      </c>
      <c r="P121" s="1">
        <v>0</v>
      </c>
      <c r="R121" s="1" t="str">
        <f t="shared" si="29"/>
        <v>人民币</v>
      </c>
      <c r="S121" s="1" t="str">
        <f t="shared" si="47"/>
        <v>T4000864</v>
      </c>
    </row>
    <row r="122" spans="1:19">
      <c r="A122" s="1" t="str">
        <f t="shared" si="46"/>
        <v>20200918</v>
      </c>
      <c r="D122" s="1" t="str">
        <f>"偿还融资利息"</f>
        <v>偿还融资利息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-8.19</v>
      </c>
      <c r="O122" s="1">
        <v>41237.48</v>
      </c>
      <c r="P122" s="1">
        <v>0</v>
      </c>
      <c r="R122" s="1" t="str">
        <f t="shared" si="29"/>
        <v>人民币</v>
      </c>
      <c r="S122" s="1" t="str">
        <f t="shared" si="47"/>
        <v>T4000864</v>
      </c>
    </row>
    <row r="123" spans="1:19">
      <c r="A123" s="1" t="str">
        <f t="shared" si="46"/>
        <v>20200918</v>
      </c>
      <c r="D123" s="1" t="str">
        <f>"偿还融资负债本金"</f>
        <v>偿还融资负债本金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-3913.25</v>
      </c>
      <c r="O123" s="1">
        <v>37324.23</v>
      </c>
      <c r="P123" s="1">
        <v>0</v>
      </c>
      <c r="R123" s="1" t="str">
        <f t="shared" si="29"/>
        <v>人民币</v>
      </c>
      <c r="S123" s="1" t="str">
        <f t="shared" si="47"/>
        <v>T4000864</v>
      </c>
    </row>
    <row r="124" spans="1:19">
      <c r="A124" s="1" t="str">
        <f t="shared" si="46"/>
        <v>20200918</v>
      </c>
      <c r="D124" s="1" t="str">
        <f t="shared" ref="D124:D133" si="48">"偿还融资利息"</f>
        <v>偿还融资利息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-80.36</v>
      </c>
      <c r="O124" s="1">
        <v>37243.87</v>
      </c>
      <c r="P124" s="1">
        <v>0</v>
      </c>
      <c r="R124" s="1" t="str">
        <f t="shared" si="29"/>
        <v>人民币</v>
      </c>
      <c r="S124" s="1" t="str">
        <f t="shared" si="47"/>
        <v>T4000864</v>
      </c>
    </row>
    <row r="125" spans="1:19">
      <c r="A125" s="1" t="str">
        <f t="shared" si="46"/>
        <v>20200918</v>
      </c>
      <c r="D125" s="1" t="str">
        <f>"偿还融资负债本金"</f>
        <v>偿还融资负债本金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-8937.28</v>
      </c>
      <c r="O125" s="1">
        <v>28306.59</v>
      </c>
      <c r="P125" s="1">
        <v>0</v>
      </c>
      <c r="R125" s="1" t="str">
        <f t="shared" si="29"/>
        <v>人民币</v>
      </c>
      <c r="S125" s="1" t="str">
        <f t="shared" si="47"/>
        <v>T4000864</v>
      </c>
    </row>
    <row r="126" spans="1:18">
      <c r="A126" s="1" t="str">
        <f t="shared" si="46"/>
        <v>20200918</v>
      </c>
      <c r="D126" s="1" t="str">
        <f>"偿还融券费用"</f>
        <v>偿还融券费用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-3.35</v>
      </c>
      <c r="O126" s="1">
        <v>28303.24</v>
      </c>
      <c r="P126" s="1">
        <v>0</v>
      </c>
      <c r="R126" s="1" t="str">
        <f t="shared" si="29"/>
        <v>人民币</v>
      </c>
    </row>
    <row r="127" spans="1:18">
      <c r="A127" s="1" t="str">
        <f t="shared" si="46"/>
        <v>20200918</v>
      </c>
      <c r="D127" s="1" t="str">
        <f>"偿还融券费用"</f>
        <v>偿还融券费用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-3.35</v>
      </c>
      <c r="O127" s="1">
        <v>28299.89</v>
      </c>
      <c r="P127" s="1">
        <v>0</v>
      </c>
      <c r="R127" s="1" t="str">
        <f t="shared" si="29"/>
        <v>人民币</v>
      </c>
    </row>
    <row r="128" spans="1:18">
      <c r="A128" s="1" t="str">
        <f t="shared" si="46"/>
        <v>20200918</v>
      </c>
      <c r="D128" s="1" t="str">
        <f t="shared" si="48"/>
        <v>偿还融资利息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-0.8</v>
      </c>
      <c r="O128" s="1">
        <v>28299.09</v>
      </c>
      <c r="P128" s="1">
        <v>0</v>
      </c>
      <c r="R128" s="1" t="str">
        <f t="shared" si="29"/>
        <v>人民币</v>
      </c>
    </row>
    <row r="129" spans="1:18">
      <c r="A129" s="1" t="str">
        <f t="shared" si="46"/>
        <v>20200918</v>
      </c>
      <c r="D129" s="1" t="str">
        <f t="shared" si="48"/>
        <v>偿还融资利息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-125.57</v>
      </c>
      <c r="O129" s="1">
        <v>28173.52</v>
      </c>
      <c r="P129" s="1">
        <v>0</v>
      </c>
      <c r="R129" s="1" t="str">
        <f t="shared" si="29"/>
        <v>人民币</v>
      </c>
    </row>
    <row r="130" spans="1:18">
      <c r="A130" s="1" t="str">
        <f t="shared" si="46"/>
        <v>20200918</v>
      </c>
      <c r="D130" s="1" t="str">
        <f t="shared" si="48"/>
        <v>偿还融资利息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-85.84</v>
      </c>
      <c r="O130" s="1">
        <v>28087.68</v>
      </c>
      <c r="P130" s="1">
        <v>0</v>
      </c>
      <c r="R130" s="1" t="str">
        <f t="shared" ref="R130:R136" si="49">"人民币"</f>
        <v>人民币</v>
      </c>
    </row>
    <row r="131" spans="1:18">
      <c r="A131" s="1" t="str">
        <f t="shared" si="46"/>
        <v>20200918</v>
      </c>
      <c r="D131" s="1" t="str">
        <f t="shared" si="48"/>
        <v>偿还融资利息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-35.4</v>
      </c>
      <c r="O131" s="1">
        <v>28052.28</v>
      </c>
      <c r="P131" s="1">
        <v>0</v>
      </c>
      <c r="R131" s="1" t="str">
        <f t="shared" si="49"/>
        <v>人民币</v>
      </c>
    </row>
    <row r="132" spans="1:18">
      <c r="A132" s="1" t="str">
        <f t="shared" si="46"/>
        <v>20200918</v>
      </c>
      <c r="D132" s="1" t="str">
        <f t="shared" si="48"/>
        <v>偿还融资利息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-39.94</v>
      </c>
      <c r="O132" s="1">
        <v>28012.34</v>
      </c>
      <c r="P132" s="1">
        <v>0</v>
      </c>
      <c r="R132" s="1" t="str">
        <f t="shared" si="49"/>
        <v>人民币</v>
      </c>
    </row>
    <row r="133" spans="1:18">
      <c r="A133" s="1" t="str">
        <f t="shared" si="46"/>
        <v>20200918</v>
      </c>
      <c r="D133" s="1" t="str">
        <f t="shared" si="48"/>
        <v>偿还融资利息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-14.75</v>
      </c>
      <c r="O133" s="1">
        <v>27997.59</v>
      </c>
      <c r="P133" s="1">
        <v>0</v>
      </c>
      <c r="R133" s="1" t="str">
        <f t="shared" si="49"/>
        <v>人民币</v>
      </c>
    </row>
    <row r="134" spans="1:18">
      <c r="A134" s="1" t="str">
        <f>"20200921"</f>
        <v>20200921</v>
      </c>
      <c r="B134" s="1" t="str">
        <f>"000543"</f>
        <v>000543</v>
      </c>
      <c r="C134" s="1" t="str">
        <f>"皖能电力"</f>
        <v>皖能电力</v>
      </c>
      <c r="D134" s="1" t="str">
        <f>"股息红利差异扣税"</f>
        <v>股息红利差异扣税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-35.7</v>
      </c>
      <c r="O134" s="1">
        <v>27961.89</v>
      </c>
      <c r="P134" s="1">
        <v>0</v>
      </c>
      <c r="Q134" s="1" t="str">
        <f>"0602175409"</f>
        <v>0602175409</v>
      </c>
      <c r="R134" s="1" t="str">
        <f t="shared" si="49"/>
        <v>人民币</v>
      </c>
    </row>
    <row r="135" spans="1:19">
      <c r="A135" s="1" t="str">
        <f>"20200925"</f>
        <v>20200925</v>
      </c>
      <c r="B135" s="1" t="str">
        <f>"000543"</f>
        <v>000543</v>
      </c>
      <c r="C135" s="1" t="str">
        <f>"皖能电力"</f>
        <v>皖能电力</v>
      </c>
      <c r="D135" s="1" t="str">
        <f>"融资买入"</f>
        <v>融资买入</v>
      </c>
      <c r="E135" s="1">
        <v>4.24</v>
      </c>
      <c r="F135" s="1">
        <v>3000</v>
      </c>
      <c r="G135" s="1">
        <v>12720</v>
      </c>
      <c r="H135" s="1">
        <v>6.36</v>
      </c>
      <c r="I135" s="1">
        <v>5.23</v>
      </c>
      <c r="J135" s="1">
        <v>0</v>
      </c>
      <c r="K135" s="1">
        <v>0</v>
      </c>
      <c r="L135" s="1">
        <v>0</v>
      </c>
      <c r="M135" s="1">
        <v>0</v>
      </c>
      <c r="N135" s="1">
        <v>-12726.36</v>
      </c>
      <c r="O135" s="1">
        <v>15235.53</v>
      </c>
      <c r="P135" s="1">
        <v>22000</v>
      </c>
      <c r="Q135" s="1" t="str">
        <f>"0602175409"</f>
        <v>0602175409</v>
      </c>
      <c r="R135" s="1" t="str">
        <f t="shared" si="49"/>
        <v>人民币</v>
      </c>
      <c r="S135" s="1" t="str">
        <f>"T4000210"</f>
        <v>T4000210</v>
      </c>
    </row>
    <row r="136" spans="1:19">
      <c r="A136" s="1" t="str">
        <f>"20200925"</f>
        <v>20200925</v>
      </c>
      <c r="D136" s="1" t="str">
        <f>"融资借入"</f>
        <v>融资借入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12726.36</v>
      </c>
      <c r="O136" s="1">
        <v>27961.89</v>
      </c>
      <c r="P136" s="1">
        <v>0</v>
      </c>
      <c r="R136" s="1" t="str">
        <f t="shared" si="49"/>
        <v>人民币</v>
      </c>
      <c r="S136" s="1" t="str">
        <f>"T4000210"</f>
        <v>T4000210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3"/>
  <sheetViews>
    <sheetView workbookViewId="0">
      <selection activeCell="A2" sqref="A2:P103"/>
    </sheetView>
  </sheetViews>
  <sheetFormatPr defaultColWidth="9" defaultRowHeight="13.5"/>
  <cols>
    <col min="1" max="16384" width="9" style="1"/>
  </cols>
  <sheetData>
    <row r="1" spans="1:19">
      <c r="A1" s="1" t="str">
        <f>"交割日期"</f>
        <v>交割日期</v>
      </c>
      <c r="B1" s="1" t="str">
        <f>"证券代码"</f>
        <v>证券代码</v>
      </c>
      <c r="C1" s="1" t="str">
        <f>"证券名称"</f>
        <v>证券名称</v>
      </c>
      <c r="D1" s="1" t="str">
        <f>"业务名称"</f>
        <v>业务名称</v>
      </c>
      <c r="E1" s="1" t="str">
        <f>"成交价格"</f>
        <v>成交价格</v>
      </c>
      <c r="F1" s="1" t="str">
        <f>"成交数量"</f>
        <v>成交数量</v>
      </c>
      <c r="G1" s="1" t="str">
        <f>"成交金额"</f>
        <v>成交金额</v>
      </c>
      <c r="H1" s="1" t="str">
        <f>"手续费"</f>
        <v>手续费</v>
      </c>
      <c r="I1" s="1" t="str">
        <f>"净佣金"</f>
        <v>净佣金</v>
      </c>
      <c r="J1" s="1" t="str">
        <f>"印花税"</f>
        <v>印花税</v>
      </c>
      <c r="K1" s="1" t="str">
        <f>"过户费"</f>
        <v>过户费</v>
      </c>
      <c r="L1" s="1" t="str">
        <f>"结算费"</f>
        <v>结算费</v>
      </c>
      <c r="M1" s="1" t="str">
        <f>"其他费"</f>
        <v>其他费</v>
      </c>
      <c r="N1" s="1" t="str">
        <f>"发生金额"</f>
        <v>发生金额</v>
      </c>
      <c r="O1" s="1" t="str">
        <f>"剩余金额"</f>
        <v>剩余金额</v>
      </c>
      <c r="P1" s="1" t="str">
        <f>"证券数量"</f>
        <v>证券数量</v>
      </c>
      <c r="Q1" s="1" t="str">
        <f>"股东代码"</f>
        <v>股东代码</v>
      </c>
      <c r="R1" s="1" t="str">
        <f>"币种"</f>
        <v>币种</v>
      </c>
      <c r="S1" s="1" t="str">
        <f>"成交编号"</f>
        <v>成交编号</v>
      </c>
    </row>
    <row r="2" spans="1:18">
      <c r="A2" s="1" t="str">
        <f>"20201019"</f>
        <v>20201019</v>
      </c>
      <c r="D2" s="1" t="str">
        <f>"证券转银行"</f>
        <v>证券转银行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-3000</v>
      </c>
      <c r="O2" s="1">
        <v>24961.89</v>
      </c>
      <c r="P2" s="1">
        <v>0</v>
      </c>
      <c r="R2" s="1" t="str">
        <f t="shared" ref="R2:R65" si="0">"人民币"</f>
        <v>人民币</v>
      </c>
    </row>
    <row r="3" spans="1:19">
      <c r="A3" s="1" t="str">
        <f>"20201019"</f>
        <v>20201019</v>
      </c>
      <c r="B3" s="1" t="str">
        <f>"000543"</f>
        <v>000543</v>
      </c>
      <c r="C3" s="1" t="str">
        <f>"皖能电力"</f>
        <v>皖能电力</v>
      </c>
      <c r="D3" s="1" t="str">
        <f>"担保品卖出"</f>
        <v>担保品卖出</v>
      </c>
      <c r="E3" s="1">
        <v>4.38</v>
      </c>
      <c r="F3" s="1">
        <v>3000</v>
      </c>
      <c r="G3" s="1">
        <v>13140</v>
      </c>
      <c r="H3" s="1">
        <v>5</v>
      </c>
      <c r="I3" s="1">
        <v>3.84</v>
      </c>
      <c r="J3" s="1">
        <v>13.14</v>
      </c>
      <c r="K3" s="1">
        <v>0</v>
      </c>
      <c r="L3" s="1">
        <v>0</v>
      </c>
      <c r="M3" s="1">
        <v>0</v>
      </c>
      <c r="N3" s="1">
        <v>13121.86</v>
      </c>
      <c r="O3" s="1">
        <v>38083.75</v>
      </c>
      <c r="P3" s="1">
        <v>19000</v>
      </c>
      <c r="Q3" s="1" t="str">
        <f>"0602175409"</f>
        <v>0602175409</v>
      </c>
      <c r="R3" s="1" t="str">
        <f t="shared" si="0"/>
        <v>人民币</v>
      </c>
      <c r="S3" s="1" t="str">
        <f>"T4000093"</f>
        <v>T4000093</v>
      </c>
    </row>
    <row r="4" spans="1:18">
      <c r="A4" s="1" t="str">
        <f t="shared" ref="A4:A16" si="1">"20201020"</f>
        <v>20201020</v>
      </c>
      <c r="B4" s="1" t="str">
        <f>"000543"</f>
        <v>000543</v>
      </c>
      <c r="C4" s="1" t="str">
        <f>"皖能电力"</f>
        <v>皖能电力</v>
      </c>
      <c r="D4" s="1" t="str">
        <f>"股息红利差异扣税"</f>
        <v>股息红利差异扣税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-35.7</v>
      </c>
      <c r="O4" s="1">
        <v>38048.05</v>
      </c>
      <c r="P4" s="1">
        <v>0</v>
      </c>
      <c r="Q4" s="1" t="str">
        <f>"0602175409"</f>
        <v>0602175409</v>
      </c>
      <c r="R4" s="1" t="str">
        <f t="shared" si="0"/>
        <v>人民币</v>
      </c>
    </row>
    <row r="5" spans="1:19">
      <c r="A5" s="1" t="str">
        <f t="shared" si="1"/>
        <v>20201020</v>
      </c>
      <c r="B5" s="1" t="str">
        <f>"000543"</f>
        <v>000543</v>
      </c>
      <c r="C5" s="1" t="str">
        <f>"皖能电力"</f>
        <v>皖能电力</v>
      </c>
      <c r="D5" s="1" t="str">
        <f>"融资买入"</f>
        <v>融资买入</v>
      </c>
      <c r="E5" s="1">
        <v>4.24</v>
      </c>
      <c r="F5" s="1">
        <v>3000</v>
      </c>
      <c r="G5" s="1">
        <v>12720</v>
      </c>
      <c r="H5" s="1">
        <v>6.36</v>
      </c>
      <c r="I5" s="1">
        <v>5.24</v>
      </c>
      <c r="J5" s="1">
        <v>0</v>
      </c>
      <c r="K5" s="1">
        <v>0</v>
      </c>
      <c r="L5" s="1">
        <v>0</v>
      </c>
      <c r="M5" s="1">
        <v>0</v>
      </c>
      <c r="N5" s="1">
        <v>-12726.36</v>
      </c>
      <c r="O5" s="1">
        <v>25321.69</v>
      </c>
      <c r="P5" s="1">
        <v>22000</v>
      </c>
      <c r="Q5" s="1" t="str">
        <f>"0602175409"</f>
        <v>0602175409</v>
      </c>
      <c r="R5" s="1" t="str">
        <f t="shared" si="0"/>
        <v>人民币</v>
      </c>
      <c r="S5" s="1" t="str">
        <f>"T4000072"</f>
        <v>T4000072</v>
      </c>
    </row>
    <row r="6" spans="1:19">
      <c r="A6" s="1" t="str">
        <f t="shared" si="1"/>
        <v>20201020</v>
      </c>
      <c r="D6" s="1" t="str">
        <f>"融资借入"</f>
        <v>融资借入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12726.36</v>
      </c>
      <c r="O6" s="1">
        <v>38048.05</v>
      </c>
      <c r="P6" s="1">
        <v>0</v>
      </c>
      <c r="R6" s="1" t="str">
        <f t="shared" si="0"/>
        <v>人民币</v>
      </c>
      <c r="S6" s="1" t="str">
        <f>"T4000072"</f>
        <v>T4000072</v>
      </c>
    </row>
    <row r="7" spans="1:18">
      <c r="A7" s="1" t="str">
        <f t="shared" si="1"/>
        <v>20201020</v>
      </c>
      <c r="D7" s="1" t="str">
        <f>"偿还融券费用"</f>
        <v>偿还融券费用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-105.4</v>
      </c>
      <c r="O7" s="1">
        <v>37942.65</v>
      </c>
      <c r="P7" s="1">
        <v>0</v>
      </c>
      <c r="R7" s="1" t="str">
        <f t="shared" si="0"/>
        <v>人民币</v>
      </c>
    </row>
    <row r="8" spans="1:18">
      <c r="A8" s="1" t="str">
        <f t="shared" si="1"/>
        <v>20201020</v>
      </c>
      <c r="D8" s="1" t="str">
        <f>"偿还融券费用"</f>
        <v>偿还融券费用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-105.4</v>
      </c>
      <c r="O8" s="1">
        <v>37837.25</v>
      </c>
      <c r="P8" s="1">
        <v>0</v>
      </c>
      <c r="R8" s="1" t="str">
        <f t="shared" si="0"/>
        <v>人民币</v>
      </c>
    </row>
    <row r="9" spans="1:18">
      <c r="A9" s="1" t="str">
        <f t="shared" si="1"/>
        <v>20201020</v>
      </c>
      <c r="D9" s="1" t="str">
        <f t="shared" ref="D9:D16" si="2">"偿还融资利息"</f>
        <v>偿还融资利息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-25.52</v>
      </c>
      <c r="O9" s="1">
        <v>37811.73</v>
      </c>
      <c r="P9" s="1">
        <v>0</v>
      </c>
      <c r="R9" s="1" t="str">
        <f t="shared" si="0"/>
        <v>人民币</v>
      </c>
    </row>
    <row r="10" spans="1:18">
      <c r="A10" s="1" t="str">
        <f t="shared" si="1"/>
        <v>20201020</v>
      </c>
      <c r="D10" s="1" t="str">
        <f t="shared" si="2"/>
        <v>偿还融资利息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-138.56</v>
      </c>
      <c r="O10" s="1">
        <v>37673.17</v>
      </c>
      <c r="P10" s="1">
        <v>0</v>
      </c>
      <c r="R10" s="1" t="str">
        <f t="shared" si="0"/>
        <v>人民币</v>
      </c>
    </row>
    <row r="11" spans="1:18">
      <c r="A11" s="1" t="str">
        <f t="shared" si="1"/>
        <v>20201020</v>
      </c>
      <c r="D11" s="1" t="str">
        <f t="shared" si="2"/>
        <v>偿还融资利息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-94.71</v>
      </c>
      <c r="O11" s="1">
        <v>37578.46</v>
      </c>
      <c r="P11" s="1">
        <v>0</v>
      </c>
      <c r="R11" s="1" t="str">
        <f t="shared" si="0"/>
        <v>人民币</v>
      </c>
    </row>
    <row r="12" spans="1:18">
      <c r="A12" s="1" t="str">
        <f t="shared" si="1"/>
        <v>20201020</v>
      </c>
      <c r="D12" s="1" t="str">
        <f t="shared" si="2"/>
        <v>偿还融资利息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-94.41</v>
      </c>
      <c r="O12" s="1">
        <v>37484.05</v>
      </c>
      <c r="P12" s="1">
        <v>0</v>
      </c>
      <c r="R12" s="1" t="str">
        <f t="shared" si="0"/>
        <v>人民币</v>
      </c>
    </row>
    <row r="13" spans="1:18">
      <c r="A13" s="1" t="str">
        <f t="shared" si="1"/>
        <v>20201020</v>
      </c>
      <c r="D13" s="1" t="str">
        <f t="shared" si="2"/>
        <v>偿还融资利息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-116.23</v>
      </c>
      <c r="O13" s="1">
        <v>37367.82</v>
      </c>
      <c r="P13" s="1">
        <v>0</v>
      </c>
      <c r="R13" s="1" t="str">
        <f t="shared" si="0"/>
        <v>人民币</v>
      </c>
    </row>
    <row r="14" spans="1:18">
      <c r="A14" s="1" t="str">
        <f t="shared" si="1"/>
        <v>20201020</v>
      </c>
      <c r="D14" s="1" t="str">
        <f t="shared" si="2"/>
        <v>偿还融资利息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-94.41</v>
      </c>
      <c r="O14" s="1">
        <v>37273.41</v>
      </c>
      <c r="P14" s="1">
        <v>0</v>
      </c>
      <c r="R14" s="1" t="str">
        <f t="shared" si="0"/>
        <v>人民币</v>
      </c>
    </row>
    <row r="15" spans="1:18">
      <c r="A15" s="1" t="str">
        <f t="shared" si="1"/>
        <v>20201020</v>
      </c>
      <c r="D15" s="1" t="str">
        <f t="shared" si="2"/>
        <v>偿还融资利息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-76.71</v>
      </c>
      <c r="O15" s="1">
        <v>37196.7</v>
      </c>
      <c r="P15" s="1">
        <v>0</v>
      </c>
      <c r="R15" s="1" t="str">
        <f t="shared" si="0"/>
        <v>人民币</v>
      </c>
    </row>
    <row r="16" spans="1:18">
      <c r="A16" s="1" t="str">
        <f t="shared" si="1"/>
        <v>20201020</v>
      </c>
      <c r="D16" s="1" t="str">
        <f t="shared" si="2"/>
        <v>偿还融资利息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-2.95</v>
      </c>
      <c r="O16" s="1">
        <v>37193.75</v>
      </c>
      <c r="P16" s="1">
        <v>0</v>
      </c>
      <c r="R16" s="1" t="str">
        <f t="shared" si="0"/>
        <v>人民币</v>
      </c>
    </row>
    <row r="17" spans="1:18">
      <c r="A17" s="1" t="str">
        <f>"20201022"</f>
        <v>20201022</v>
      </c>
      <c r="B17" s="1" t="str">
        <f>"600028"</f>
        <v>600028</v>
      </c>
      <c r="C17" s="1" t="str">
        <f>"中国石化"</f>
        <v>中国石化</v>
      </c>
      <c r="D17" s="1" t="str">
        <f>"红利入账"</f>
        <v>红利入账</v>
      </c>
      <c r="E17" s="1">
        <v>0</v>
      </c>
      <c r="F17" s="1">
        <v>15700</v>
      </c>
      <c r="G17" s="1">
        <v>1099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1099</v>
      </c>
      <c r="O17" s="1">
        <v>38292.75</v>
      </c>
      <c r="P17" s="1">
        <v>0</v>
      </c>
      <c r="Q17" s="1" t="str">
        <f>"E021635187"</f>
        <v>E021635187</v>
      </c>
      <c r="R17" s="1" t="str">
        <f t="shared" si="0"/>
        <v>人民币</v>
      </c>
    </row>
    <row r="18" spans="1:18">
      <c r="A18" s="1" t="str">
        <f t="shared" ref="A18:A21" si="3">"20201023"</f>
        <v>20201023</v>
      </c>
      <c r="D18" s="1" t="str">
        <f>"偿还融券费用"</f>
        <v>偿还融券费用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-6.75</v>
      </c>
      <c r="O18" s="1">
        <v>38286</v>
      </c>
      <c r="P18" s="1">
        <v>0</v>
      </c>
      <c r="R18" s="1" t="str">
        <f t="shared" si="0"/>
        <v>人民币</v>
      </c>
    </row>
    <row r="19" spans="1:18">
      <c r="A19" s="1" t="str">
        <f t="shared" si="3"/>
        <v>20201023</v>
      </c>
      <c r="D19" s="1" t="str">
        <f>"偿还融券费用"</f>
        <v>偿还融券费用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-6.75</v>
      </c>
      <c r="O19" s="1">
        <v>38279.25</v>
      </c>
      <c r="P19" s="1">
        <v>0</v>
      </c>
      <c r="R19" s="1" t="str">
        <f t="shared" si="0"/>
        <v>人民币</v>
      </c>
    </row>
    <row r="20" spans="1:18">
      <c r="A20" s="1" t="str">
        <f t="shared" si="3"/>
        <v>20201023</v>
      </c>
      <c r="D20" s="1" t="str">
        <f>"偿还融资利息"</f>
        <v>偿还融资利息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-1.6</v>
      </c>
      <c r="O20" s="1">
        <v>38277.65</v>
      </c>
      <c r="P20" s="1">
        <v>0</v>
      </c>
      <c r="R20" s="1" t="str">
        <f t="shared" si="0"/>
        <v>人民币</v>
      </c>
    </row>
    <row r="21" spans="1:18">
      <c r="A21" s="1" t="str">
        <f t="shared" si="3"/>
        <v>20201023</v>
      </c>
      <c r="D21" s="1" t="str">
        <f>"偿还融资负债本金"</f>
        <v>偿还融资负债本金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-1184.9</v>
      </c>
      <c r="O21" s="1">
        <v>37092.75</v>
      </c>
      <c r="P21" s="1">
        <v>0</v>
      </c>
      <c r="R21" s="1" t="str">
        <f t="shared" si="0"/>
        <v>人民币</v>
      </c>
    </row>
    <row r="22" spans="1:19">
      <c r="A22" s="1" t="str">
        <f>"20201027"</f>
        <v>20201027</v>
      </c>
      <c r="B22" s="1" t="str">
        <f>"002183"</f>
        <v>002183</v>
      </c>
      <c r="C22" s="1" t="str">
        <f>"怡 亚 通"</f>
        <v>怡 亚 通</v>
      </c>
      <c r="D22" s="1" t="str">
        <f t="shared" ref="D22:D27" si="4">"融资买入"</f>
        <v>融资买入</v>
      </c>
      <c r="E22" s="1">
        <v>5.13</v>
      </c>
      <c r="F22" s="1">
        <v>3000</v>
      </c>
      <c r="G22" s="1">
        <v>15390</v>
      </c>
      <c r="H22" s="1">
        <v>7.7</v>
      </c>
      <c r="I22" s="1">
        <v>6.33</v>
      </c>
      <c r="J22" s="1">
        <v>0</v>
      </c>
      <c r="K22" s="1">
        <v>0</v>
      </c>
      <c r="L22" s="1">
        <v>0</v>
      </c>
      <c r="M22" s="1">
        <v>0</v>
      </c>
      <c r="N22" s="1">
        <v>-15397.7</v>
      </c>
      <c r="O22" s="1">
        <v>21695.05</v>
      </c>
      <c r="P22" s="1">
        <v>15500</v>
      </c>
      <c r="Q22" s="1" t="str">
        <f t="shared" ref="Q22:Q27" si="5">"0602175409"</f>
        <v>0602175409</v>
      </c>
      <c r="R22" s="1" t="str">
        <f t="shared" si="0"/>
        <v>人民币</v>
      </c>
      <c r="S22" s="1" t="str">
        <f>"T4001562"</f>
        <v>T4001562</v>
      </c>
    </row>
    <row r="23" spans="1:19">
      <c r="A23" s="1" t="str">
        <f>"20201027"</f>
        <v>20201027</v>
      </c>
      <c r="D23" s="1" t="str">
        <f t="shared" ref="D23:D28" si="6">"融资借入"</f>
        <v>融资借入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15397.7</v>
      </c>
      <c r="O23" s="1">
        <v>37092.75</v>
      </c>
      <c r="P23" s="1">
        <v>0</v>
      </c>
      <c r="R23" s="1" t="str">
        <f t="shared" si="0"/>
        <v>人民币</v>
      </c>
      <c r="S23" s="1" t="str">
        <f>"T4001562"</f>
        <v>T4001562</v>
      </c>
    </row>
    <row r="24" spans="1:19">
      <c r="A24" s="1" t="str">
        <f>"20201029"</f>
        <v>20201029</v>
      </c>
      <c r="B24" s="1" t="str">
        <f>"000543"</f>
        <v>000543</v>
      </c>
      <c r="C24" s="1" t="str">
        <f>"皖能电力"</f>
        <v>皖能电力</v>
      </c>
      <c r="D24" s="1" t="str">
        <f t="shared" si="4"/>
        <v>融资买入</v>
      </c>
      <c r="E24" s="1">
        <v>4.12</v>
      </c>
      <c r="F24" s="1">
        <v>3000</v>
      </c>
      <c r="G24" s="1">
        <v>12360</v>
      </c>
      <c r="H24" s="1">
        <v>6.18</v>
      </c>
      <c r="I24" s="1">
        <v>5.08</v>
      </c>
      <c r="J24" s="1">
        <v>0</v>
      </c>
      <c r="K24" s="1">
        <v>0</v>
      </c>
      <c r="L24" s="1">
        <v>0</v>
      </c>
      <c r="M24" s="1">
        <v>0</v>
      </c>
      <c r="N24" s="1">
        <v>-12366.18</v>
      </c>
      <c r="O24" s="1">
        <v>24726.57</v>
      </c>
      <c r="P24" s="1">
        <v>25000</v>
      </c>
      <c r="Q24" s="1" t="str">
        <f t="shared" si="5"/>
        <v>0602175409</v>
      </c>
      <c r="R24" s="1" t="str">
        <f t="shared" si="0"/>
        <v>人民币</v>
      </c>
      <c r="S24" s="1" t="str">
        <f>"T4000387"</f>
        <v>T4000387</v>
      </c>
    </row>
    <row r="25" spans="1:19">
      <c r="A25" s="1" t="str">
        <f>"20201029"</f>
        <v>20201029</v>
      </c>
      <c r="D25" s="1" t="str">
        <f t="shared" si="6"/>
        <v>融资借入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12366.18</v>
      </c>
      <c r="O25" s="1">
        <v>37092.75</v>
      </c>
      <c r="P25" s="1">
        <v>0</v>
      </c>
      <c r="R25" s="1" t="str">
        <f t="shared" si="0"/>
        <v>人民币</v>
      </c>
      <c r="S25" s="1" t="str">
        <f>"T4000387"</f>
        <v>T4000387</v>
      </c>
    </row>
    <row r="26" spans="1:19">
      <c r="A26" s="1" t="str">
        <f>"20201030"</f>
        <v>20201030</v>
      </c>
      <c r="B26" s="1" t="str">
        <f>"003016"</f>
        <v>003016</v>
      </c>
      <c r="C26" s="1" t="str">
        <f>"欣贺股份"</f>
        <v>欣贺股份</v>
      </c>
      <c r="D26" s="1" t="str">
        <f>"担保品买入"</f>
        <v>担保品买入</v>
      </c>
      <c r="E26" s="1">
        <v>11.03</v>
      </c>
      <c r="F26" s="1">
        <v>500</v>
      </c>
      <c r="G26" s="1">
        <v>5515</v>
      </c>
      <c r="H26" s="1">
        <v>5</v>
      </c>
      <c r="I26" s="1">
        <v>4.51</v>
      </c>
      <c r="J26" s="1">
        <v>0</v>
      </c>
      <c r="K26" s="1">
        <v>0</v>
      </c>
      <c r="L26" s="1">
        <v>0</v>
      </c>
      <c r="M26" s="1">
        <v>0</v>
      </c>
      <c r="N26" s="1">
        <v>-5520</v>
      </c>
      <c r="O26" s="1">
        <v>31572.75</v>
      </c>
      <c r="P26" s="1">
        <v>500</v>
      </c>
      <c r="Q26" s="1" t="str">
        <f t="shared" si="5"/>
        <v>0602175409</v>
      </c>
      <c r="R26" s="1" t="str">
        <f t="shared" si="0"/>
        <v>人民币</v>
      </c>
      <c r="S26" s="1" t="str">
        <f>"T4000708"</f>
        <v>T4000708</v>
      </c>
    </row>
    <row r="27" spans="1:19">
      <c r="A27" s="1" t="str">
        <f>"20201104"</f>
        <v>20201104</v>
      </c>
      <c r="B27" s="1" t="str">
        <f>"000543"</f>
        <v>000543</v>
      </c>
      <c r="C27" s="1" t="str">
        <f>"皖能电力"</f>
        <v>皖能电力</v>
      </c>
      <c r="D27" s="1" t="str">
        <f t="shared" si="4"/>
        <v>融资买入</v>
      </c>
      <c r="E27" s="1">
        <v>3.97</v>
      </c>
      <c r="F27" s="1">
        <v>4000</v>
      </c>
      <c r="G27" s="1">
        <v>15880</v>
      </c>
      <c r="H27" s="1">
        <v>7.94</v>
      </c>
      <c r="I27" s="1">
        <v>6.53</v>
      </c>
      <c r="J27" s="1">
        <v>0</v>
      </c>
      <c r="K27" s="1">
        <v>0</v>
      </c>
      <c r="L27" s="1">
        <v>0</v>
      </c>
      <c r="M27" s="1">
        <v>0</v>
      </c>
      <c r="N27" s="1">
        <v>-15887.94</v>
      </c>
      <c r="O27" s="1">
        <v>15684.81</v>
      </c>
      <c r="P27" s="1">
        <v>29000</v>
      </c>
      <c r="Q27" s="1" t="str">
        <f t="shared" si="5"/>
        <v>0602175409</v>
      </c>
      <c r="R27" s="1" t="str">
        <f t="shared" si="0"/>
        <v>人民币</v>
      </c>
      <c r="S27" s="1" t="str">
        <f>"T4000398"</f>
        <v>T4000398</v>
      </c>
    </row>
    <row r="28" spans="1:19">
      <c r="A28" s="1" t="str">
        <f>"20201104"</f>
        <v>20201104</v>
      </c>
      <c r="D28" s="1" t="str">
        <f t="shared" si="6"/>
        <v>融资借入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15887.94</v>
      </c>
      <c r="O28" s="1">
        <v>31572.75</v>
      </c>
      <c r="P28" s="1">
        <v>0</v>
      </c>
      <c r="R28" s="1" t="str">
        <f t="shared" si="0"/>
        <v>人民币</v>
      </c>
      <c r="S28" s="1" t="str">
        <f>"T4000398"</f>
        <v>T4000398</v>
      </c>
    </row>
    <row r="29" spans="1:19">
      <c r="A29" s="1" t="str">
        <f>"20201106"</f>
        <v>20201106</v>
      </c>
      <c r="B29" s="1" t="str">
        <f>"600575"</f>
        <v>600575</v>
      </c>
      <c r="C29" s="1" t="str">
        <f>"淮河能源"</f>
        <v>淮河能源</v>
      </c>
      <c r="D29" s="1" t="str">
        <f>"担保品买入"</f>
        <v>担保品买入</v>
      </c>
      <c r="E29" s="1">
        <v>2.17</v>
      </c>
      <c r="F29" s="1">
        <v>3000</v>
      </c>
      <c r="G29" s="1">
        <v>6510</v>
      </c>
      <c r="H29" s="1">
        <v>5</v>
      </c>
      <c r="I29" s="1">
        <v>4.55</v>
      </c>
      <c r="J29" s="1">
        <v>0</v>
      </c>
      <c r="K29" s="1">
        <v>0.13</v>
      </c>
      <c r="L29" s="1">
        <v>0</v>
      </c>
      <c r="M29" s="1">
        <v>0</v>
      </c>
      <c r="N29" s="1">
        <v>-6515.13</v>
      </c>
      <c r="O29" s="1">
        <v>25057.62</v>
      </c>
      <c r="P29" s="1">
        <v>3000</v>
      </c>
      <c r="Q29" s="1" t="str">
        <f>"E021635187"</f>
        <v>E021635187</v>
      </c>
      <c r="R29" s="1" t="str">
        <f t="shared" si="0"/>
        <v>人民币</v>
      </c>
      <c r="S29" s="1" t="str">
        <f>"0136000423"</f>
        <v>0136000423</v>
      </c>
    </row>
    <row r="30" spans="1:18">
      <c r="A30" s="1" t="str">
        <f>"20201110"</f>
        <v>20201110</v>
      </c>
      <c r="D30" s="1" t="str">
        <f>"银行转证券"</f>
        <v>银行转证券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3028</v>
      </c>
      <c r="O30" s="1">
        <v>28085.62</v>
      </c>
      <c r="P30" s="1">
        <v>0</v>
      </c>
      <c r="R30" s="1" t="str">
        <f t="shared" si="0"/>
        <v>人民币</v>
      </c>
    </row>
    <row r="31" spans="1:19">
      <c r="A31" s="1" t="str">
        <f t="shared" ref="A31:A39" si="7">"20201116"</f>
        <v>20201116</v>
      </c>
      <c r="B31" s="1" t="str">
        <f>"000543"</f>
        <v>000543</v>
      </c>
      <c r="C31" s="1" t="str">
        <f>"皖能电力"</f>
        <v>皖能电力</v>
      </c>
      <c r="D31" s="1" t="str">
        <f>"担保品卖出"</f>
        <v>担保品卖出</v>
      </c>
      <c r="E31" s="1">
        <v>4.06</v>
      </c>
      <c r="F31" s="1">
        <v>4000</v>
      </c>
      <c r="G31" s="1">
        <v>16240</v>
      </c>
      <c r="H31" s="1">
        <v>5.03</v>
      </c>
      <c r="I31" s="1">
        <v>3.6</v>
      </c>
      <c r="J31" s="1">
        <v>16.24</v>
      </c>
      <c r="K31" s="1">
        <v>0</v>
      </c>
      <c r="L31" s="1">
        <v>0</v>
      </c>
      <c r="M31" s="1">
        <v>0</v>
      </c>
      <c r="N31" s="1">
        <v>16218.73</v>
      </c>
      <c r="O31" s="1">
        <v>44304.35</v>
      </c>
      <c r="P31" s="1">
        <v>25000</v>
      </c>
      <c r="Q31" s="1" t="str">
        <f>"0602175409"</f>
        <v>0602175409</v>
      </c>
      <c r="R31" s="1" t="str">
        <f t="shared" si="0"/>
        <v>人民币</v>
      </c>
      <c r="S31" s="1" t="str">
        <f>"T4000099"</f>
        <v>T4000099</v>
      </c>
    </row>
    <row r="32" spans="1:19">
      <c r="A32" s="1" t="str">
        <f t="shared" si="7"/>
        <v>20201116</v>
      </c>
      <c r="B32" s="1" t="str">
        <f>"600575"</f>
        <v>600575</v>
      </c>
      <c r="C32" s="1" t="str">
        <f>"淮河能源"</f>
        <v>淮河能源</v>
      </c>
      <c r="D32" s="1" t="str">
        <f>"担保品卖出"</f>
        <v>担保品卖出</v>
      </c>
      <c r="E32" s="1">
        <v>2.22</v>
      </c>
      <c r="F32" s="1">
        <v>3000</v>
      </c>
      <c r="G32" s="1">
        <v>6660</v>
      </c>
      <c r="H32" s="1">
        <v>5</v>
      </c>
      <c r="I32" s="1">
        <v>4.56</v>
      </c>
      <c r="J32" s="1">
        <v>6.66</v>
      </c>
      <c r="K32" s="1">
        <v>0.12</v>
      </c>
      <c r="L32" s="1">
        <v>0</v>
      </c>
      <c r="M32" s="1">
        <v>0</v>
      </c>
      <c r="N32" s="1">
        <v>6648.22</v>
      </c>
      <c r="O32" s="1">
        <v>50952.57</v>
      </c>
      <c r="P32" s="1">
        <v>0</v>
      </c>
      <c r="Q32" s="1" t="str">
        <f>"E021635187"</f>
        <v>E021635187</v>
      </c>
      <c r="R32" s="1" t="str">
        <f t="shared" si="0"/>
        <v>人民币</v>
      </c>
      <c r="S32" s="1" t="str">
        <f>"0136000167"</f>
        <v>0136000167</v>
      </c>
    </row>
    <row r="33" spans="1:19">
      <c r="A33" s="1" t="str">
        <f t="shared" si="7"/>
        <v>20201116</v>
      </c>
      <c r="B33" s="1" t="str">
        <f>"003016"</f>
        <v>003016</v>
      </c>
      <c r="C33" s="1" t="str">
        <f>"欣贺股份"</f>
        <v>欣贺股份</v>
      </c>
      <c r="D33" s="1" t="str">
        <f>"担保品买入"</f>
        <v>担保品买入</v>
      </c>
      <c r="E33" s="1">
        <v>11.06</v>
      </c>
      <c r="F33" s="1">
        <v>1000</v>
      </c>
      <c r="G33" s="1">
        <v>11060</v>
      </c>
      <c r="H33" s="1">
        <v>5</v>
      </c>
      <c r="I33" s="1">
        <v>4.02</v>
      </c>
      <c r="J33" s="1">
        <v>0</v>
      </c>
      <c r="K33" s="1">
        <v>0</v>
      </c>
      <c r="L33" s="1">
        <v>0</v>
      </c>
      <c r="M33" s="1">
        <v>0</v>
      </c>
      <c r="N33" s="1">
        <v>-11065</v>
      </c>
      <c r="O33" s="1">
        <v>39887.57</v>
      </c>
      <c r="P33" s="1">
        <v>1500</v>
      </c>
      <c r="Q33" s="1" t="str">
        <f>"0602175409"</f>
        <v>0602175409</v>
      </c>
      <c r="R33" s="1" t="str">
        <f t="shared" si="0"/>
        <v>人民币</v>
      </c>
      <c r="S33" s="1" t="str">
        <f>"T4000272"</f>
        <v>T4000272</v>
      </c>
    </row>
    <row r="34" spans="1:18">
      <c r="A34" s="1" t="str">
        <f t="shared" si="7"/>
        <v>20201116</v>
      </c>
      <c r="D34" s="1" t="str">
        <f>"偿还融券费用"</f>
        <v>偿还融券费用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-81.31</v>
      </c>
      <c r="O34" s="1">
        <v>39806.26</v>
      </c>
      <c r="P34" s="1">
        <v>0</v>
      </c>
      <c r="R34" s="1" t="str">
        <f t="shared" si="0"/>
        <v>人民币</v>
      </c>
    </row>
    <row r="35" spans="1:18">
      <c r="A35" s="1" t="str">
        <f t="shared" si="7"/>
        <v>20201116</v>
      </c>
      <c r="D35" s="1" t="str">
        <f>"偿还融券费用"</f>
        <v>偿还融券费用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-81.31</v>
      </c>
      <c r="O35" s="1">
        <v>39724.95</v>
      </c>
      <c r="P35" s="1">
        <v>0</v>
      </c>
      <c r="R35" s="1" t="str">
        <f t="shared" si="0"/>
        <v>人民币</v>
      </c>
    </row>
    <row r="36" spans="1:18">
      <c r="A36" s="1" t="str">
        <f t="shared" si="7"/>
        <v>20201116</v>
      </c>
      <c r="D36" s="1" t="str">
        <f>"偿还融资利息"</f>
        <v>偿还融资利息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-12.48</v>
      </c>
      <c r="O36" s="1">
        <v>39712.47</v>
      </c>
      <c r="P36" s="1">
        <v>0</v>
      </c>
      <c r="R36" s="1" t="str">
        <f t="shared" si="0"/>
        <v>人民币</v>
      </c>
    </row>
    <row r="37" spans="1:18">
      <c r="A37" s="1" t="str">
        <f t="shared" si="7"/>
        <v>20201116</v>
      </c>
      <c r="D37" s="1" t="str">
        <f>"偿还融资负债本金"</f>
        <v>偿还融资负债本金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-2244</v>
      </c>
      <c r="O37" s="1">
        <v>37468.47</v>
      </c>
      <c r="P37" s="1">
        <v>0</v>
      </c>
      <c r="R37" s="1" t="str">
        <f t="shared" si="0"/>
        <v>人民币</v>
      </c>
    </row>
    <row r="38" spans="1:18">
      <c r="A38" s="1" t="str">
        <f t="shared" si="7"/>
        <v>20201116</v>
      </c>
      <c r="D38" s="1" t="str">
        <f>"偿还融资利息"</f>
        <v>偿还融资利息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-112.58</v>
      </c>
      <c r="O38" s="1">
        <v>37355.89</v>
      </c>
      <c r="P38" s="1">
        <v>0</v>
      </c>
      <c r="R38" s="1" t="str">
        <f t="shared" si="0"/>
        <v>人民币</v>
      </c>
    </row>
    <row r="39" spans="1:18">
      <c r="A39" s="1" t="str">
        <f t="shared" si="7"/>
        <v>20201116</v>
      </c>
      <c r="D39" s="1" t="str">
        <f>"偿还融资负债本金"</f>
        <v>偿还融资负债本金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-11468.32</v>
      </c>
      <c r="O39" s="1">
        <v>25887.57</v>
      </c>
      <c r="P39" s="1">
        <v>0</v>
      </c>
      <c r="R39" s="1" t="str">
        <f t="shared" si="0"/>
        <v>人民币</v>
      </c>
    </row>
    <row r="40" spans="1:18">
      <c r="A40" s="1" t="str">
        <f>"20201117"</f>
        <v>20201117</v>
      </c>
      <c r="B40" s="1" t="str">
        <f>"000543"</f>
        <v>000543</v>
      </c>
      <c r="C40" s="1" t="str">
        <f>"皖能电力"</f>
        <v>皖能电力</v>
      </c>
      <c r="D40" s="1" t="str">
        <f>"股息红利差异扣税"</f>
        <v>股息红利差异扣税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-11.9</v>
      </c>
      <c r="O40" s="1">
        <v>25875.67</v>
      </c>
      <c r="P40" s="1">
        <v>0</v>
      </c>
      <c r="Q40" s="1" t="str">
        <f>"0602175409"</f>
        <v>0602175409</v>
      </c>
      <c r="R40" s="1" t="str">
        <f t="shared" si="0"/>
        <v>人民币</v>
      </c>
    </row>
    <row r="41" spans="1:19">
      <c r="A41" s="1" t="str">
        <f>"20201117"</f>
        <v>20201117</v>
      </c>
      <c r="B41" s="1" t="str">
        <f>"003016"</f>
        <v>003016</v>
      </c>
      <c r="C41" s="1" t="str">
        <f>"欣贺股份"</f>
        <v>欣贺股份</v>
      </c>
      <c r="D41" s="1" t="str">
        <f>"担保品卖出"</f>
        <v>担保品卖出</v>
      </c>
      <c r="E41" s="1">
        <v>10.9</v>
      </c>
      <c r="F41" s="1">
        <v>1500</v>
      </c>
      <c r="G41" s="1">
        <v>16350</v>
      </c>
      <c r="H41" s="1">
        <v>5.07</v>
      </c>
      <c r="I41" s="1">
        <v>3.61</v>
      </c>
      <c r="J41" s="1">
        <v>16.35</v>
      </c>
      <c r="K41" s="1">
        <v>0</v>
      </c>
      <c r="L41" s="1">
        <v>0</v>
      </c>
      <c r="M41" s="1">
        <v>0</v>
      </c>
      <c r="N41" s="1">
        <v>16328.58</v>
      </c>
      <c r="O41" s="1">
        <v>42204.25</v>
      </c>
      <c r="P41" s="1">
        <v>0</v>
      </c>
      <c r="Q41" s="1" t="str">
        <f>"0602175409"</f>
        <v>0602175409</v>
      </c>
      <c r="R41" s="1" t="str">
        <f t="shared" si="0"/>
        <v>人民币</v>
      </c>
      <c r="S41" s="1" t="str">
        <f>"T4000510"</f>
        <v>T4000510</v>
      </c>
    </row>
    <row r="42" spans="1:18">
      <c r="A42" s="1" t="str">
        <f t="shared" ref="A42:A53" si="8">"20201120"</f>
        <v>20201120</v>
      </c>
      <c r="D42" s="1" t="str">
        <f>"偿还融券费用"</f>
        <v>偿还融券费用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-17.33</v>
      </c>
      <c r="O42" s="1">
        <v>42186.92</v>
      </c>
      <c r="P42" s="1">
        <v>0</v>
      </c>
      <c r="R42" s="1" t="str">
        <f t="shared" si="0"/>
        <v>人民币</v>
      </c>
    </row>
    <row r="43" spans="1:18">
      <c r="A43" s="1" t="str">
        <f t="shared" si="8"/>
        <v>20201120</v>
      </c>
      <c r="D43" s="1" t="str">
        <f>"偿还融券费用"</f>
        <v>偿还融券费用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-17.33</v>
      </c>
      <c r="O43" s="1">
        <v>42169.59</v>
      </c>
      <c r="P43" s="1">
        <v>0</v>
      </c>
      <c r="R43" s="1" t="str">
        <f t="shared" si="0"/>
        <v>人民币</v>
      </c>
    </row>
    <row r="44" spans="1:18">
      <c r="A44" s="1" t="str">
        <f t="shared" si="8"/>
        <v>20201120</v>
      </c>
      <c r="D44" s="1" t="str">
        <f t="shared" ref="D44:D53" si="9">"偿还融资利息"</f>
        <v>偿还融资利息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-8.35</v>
      </c>
      <c r="O44" s="1">
        <v>42161.24</v>
      </c>
      <c r="P44" s="1">
        <v>0</v>
      </c>
      <c r="R44" s="1" t="str">
        <f t="shared" si="0"/>
        <v>人民币</v>
      </c>
    </row>
    <row r="45" spans="1:18">
      <c r="A45" s="1" t="str">
        <f t="shared" si="8"/>
        <v>20201120</v>
      </c>
      <c r="D45" s="1" t="str">
        <f t="shared" si="9"/>
        <v>偿还融资利息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-91.76</v>
      </c>
      <c r="O45" s="1">
        <v>42069.48</v>
      </c>
      <c r="P45" s="1">
        <v>0</v>
      </c>
      <c r="R45" s="1" t="str">
        <f t="shared" si="0"/>
        <v>人民币</v>
      </c>
    </row>
    <row r="46" spans="1:18">
      <c r="A46" s="1" t="str">
        <f t="shared" si="8"/>
        <v>20201120</v>
      </c>
      <c r="D46" s="1" t="str">
        <f t="shared" si="9"/>
        <v>偿还融资利息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-91.45</v>
      </c>
      <c r="O46" s="1">
        <v>41978.03</v>
      </c>
      <c r="P46" s="1">
        <v>0</v>
      </c>
      <c r="R46" s="1" t="str">
        <f t="shared" si="0"/>
        <v>人民币</v>
      </c>
    </row>
    <row r="47" spans="1:18">
      <c r="A47" s="1" t="str">
        <f t="shared" si="8"/>
        <v>20201120</v>
      </c>
      <c r="D47" s="1" t="str">
        <f t="shared" si="9"/>
        <v>偿还融资利息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-112.57</v>
      </c>
      <c r="O47" s="1">
        <v>41865.46</v>
      </c>
      <c r="P47" s="1">
        <v>0</v>
      </c>
      <c r="R47" s="1" t="str">
        <f t="shared" si="0"/>
        <v>人民币</v>
      </c>
    </row>
    <row r="48" spans="1:18">
      <c r="A48" s="1" t="str">
        <f t="shared" si="8"/>
        <v>20201120</v>
      </c>
      <c r="D48" s="1" t="str">
        <f t="shared" si="9"/>
        <v>偿还融资利息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-91.45</v>
      </c>
      <c r="O48" s="1">
        <v>41774.01</v>
      </c>
      <c r="P48" s="1">
        <v>0</v>
      </c>
      <c r="R48" s="1" t="str">
        <f t="shared" si="0"/>
        <v>人民币</v>
      </c>
    </row>
    <row r="49" spans="1:18">
      <c r="A49" s="1" t="str">
        <f t="shared" si="8"/>
        <v>20201120</v>
      </c>
      <c r="D49" s="1" t="str">
        <f t="shared" si="9"/>
        <v>偿还融资利息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-91.45</v>
      </c>
      <c r="O49" s="1">
        <v>41682.56</v>
      </c>
      <c r="P49" s="1">
        <v>0</v>
      </c>
      <c r="R49" s="1" t="str">
        <f t="shared" si="0"/>
        <v>人民币</v>
      </c>
    </row>
    <row r="50" spans="1:18">
      <c r="A50" s="1" t="str">
        <f t="shared" si="8"/>
        <v>20201120</v>
      </c>
      <c r="D50" s="1" t="str">
        <f t="shared" si="9"/>
        <v>偿还融资利息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-91.45</v>
      </c>
      <c r="O50" s="1">
        <v>41591.11</v>
      </c>
      <c r="P50" s="1">
        <v>0</v>
      </c>
      <c r="R50" s="1" t="str">
        <f t="shared" si="0"/>
        <v>人民币</v>
      </c>
    </row>
    <row r="51" spans="1:18">
      <c r="A51" s="1" t="str">
        <f t="shared" si="8"/>
        <v>20201120</v>
      </c>
      <c r="D51" s="1" t="str">
        <f t="shared" si="9"/>
        <v>偿还融资利息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-89.25</v>
      </c>
      <c r="O51" s="1">
        <v>41501.86</v>
      </c>
      <c r="P51" s="1">
        <v>0</v>
      </c>
      <c r="R51" s="1" t="str">
        <f t="shared" si="0"/>
        <v>人民币</v>
      </c>
    </row>
    <row r="52" spans="1:18">
      <c r="A52" s="1" t="str">
        <f t="shared" si="8"/>
        <v>20201120</v>
      </c>
      <c r="D52" s="1" t="str">
        <f t="shared" si="9"/>
        <v>偿还融资利息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-66.01</v>
      </c>
      <c r="O52" s="1">
        <v>41435.85</v>
      </c>
      <c r="P52" s="1">
        <v>0</v>
      </c>
      <c r="R52" s="1" t="str">
        <f t="shared" si="0"/>
        <v>人民币</v>
      </c>
    </row>
    <row r="53" spans="1:18">
      <c r="A53" s="1" t="str">
        <f t="shared" si="8"/>
        <v>20201120</v>
      </c>
      <c r="D53" s="1" t="str">
        <f t="shared" si="9"/>
        <v>偿还融资利息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-62.71</v>
      </c>
      <c r="O53" s="1">
        <v>41373.14</v>
      </c>
      <c r="P53" s="1">
        <v>0</v>
      </c>
      <c r="R53" s="1" t="str">
        <f t="shared" si="0"/>
        <v>人民币</v>
      </c>
    </row>
    <row r="54" spans="1:19">
      <c r="A54" s="1" t="str">
        <f t="shared" ref="A54:A62" si="10">"20201123"</f>
        <v>20201123</v>
      </c>
      <c r="B54" s="1" t="str">
        <f>"600028"</f>
        <v>600028</v>
      </c>
      <c r="C54" s="1" t="str">
        <f>"中国石化"</f>
        <v>中国石化</v>
      </c>
      <c r="D54" s="1" t="str">
        <f>"卖券还款"</f>
        <v>卖券还款</v>
      </c>
      <c r="E54" s="1">
        <v>4.14</v>
      </c>
      <c r="F54" s="1">
        <v>5000</v>
      </c>
      <c r="G54" s="1">
        <v>20700</v>
      </c>
      <c r="H54" s="1">
        <v>10.35</v>
      </c>
      <c r="I54" s="1">
        <v>8.93</v>
      </c>
      <c r="J54" s="1">
        <v>20.7</v>
      </c>
      <c r="K54" s="1">
        <v>0.41</v>
      </c>
      <c r="L54" s="1">
        <v>0</v>
      </c>
      <c r="M54" s="1">
        <v>0</v>
      </c>
      <c r="N54" s="1">
        <v>20668.54</v>
      </c>
      <c r="O54" s="1">
        <v>62041.68</v>
      </c>
      <c r="P54" s="1">
        <v>10700</v>
      </c>
      <c r="Q54" s="1" t="str">
        <f>"E021635187"</f>
        <v>E021635187</v>
      </c>
      <c r="R54" s="1" t="str">
        <f t="shared" si="0"/>
        <v>人民币</v>
      </c>
      <c r="S54" s="1" t="str">
        <f t="shared" ref="S54:S62" si="11">"0136000390"</f>
        <v>0136000390</v>
      </c>
    </row>
    <row r="55" spans="1:19">
      <c r="A55" s="1" t="str">
        <f t="shared" si="10"/>
        <v>20201123</v>
      </c>
      <c r="D55" s="1" t="str">
        <f>"偿还融券费用"</f>
        <v>偿还融券费用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-6.98</v>
      </c>
      <c r="O55" s="1">
        <v>62034.7</v>
      </c>
      <c r="P55" s="1">
        <v>0</v>
      </c>
      <c r="R55" s="1" t="str">
        <f t="shared" si="0"/>
        <v>人民币</v>
      </c>
      <c r="S55" s="1" t="str">
        <f t="shared" si="11"/>
        <v>0136000390</v>
      </c>
    </row>
    <row r="56" spans="1:19">
      <c r="A56" s="1" t="str">
        <f t="shared" si="10"/>
        <v>20201123</v>
      </c>
      <c r="D56" s="1" t="str">
        <f>"偿还融券费用"</f>
        <v>偿还融券费用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-6.98</v>
      </c>
      <c r="O56" s="1">
        <v>62027.72</v>
      </c>
      <c r="P56" s="1">
        <v>0</v>
      </c>
      <c r="R56" s="1" t="str">
        <f t="shared" si="0"/>
        <v>人民币</v>
      </c>
      <c r="S56" s="1" t="str">
        <f t="shared" si="11"/>
        <v>0136000390</v>
      </c>
    </row>
    <row r="57" spans="1:19">
      <c r="A57" s="1" t="str">
        <f t="shared" si="10"/>
        <v>20201123</v>
      </c>
      <c r="D57" s="1" t="str">
        <f t="shared" ref="D57:D61" si="12">"偿还融资利息"</f>
        <v>偿还融资利息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-3.34</v>
      </c>
      <c r="O57" s="1">
        <v>62024.38</v>
      </c>
      <c r="P57" s="1">
        <v>0</v>
      </c>
      <c r="R57" s="1" t="str">
        <f t="shared" si="0"/>
        <v>人民币</v>
      </c>
      <c r="S57" s="1" t="str">
        <f t="shared" si="11"/>
        <v>0136000390</v>
      </c>
    </row>
    <row r="58" spans="1:19">
      <c r="A58" s="1" t="str">
        <f t="shared" si="10"/>
        <v>20201123</v>
      </c>
      <c r="D58" s="1" t="str">
        <f t="shared" ref="D58:D62" si="13">"偿还融资负债本金"</f>
        <v>偿还融资负债本金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-7201.01</v>
      </c>
      <c r="O58" s="1">
        <v>54823.37</v>
      </c>
      <c r="P58" s="1">
        <v>0</v>
      </c>
      <c r="R58" s="1" t="str">
        <f t="shared" si="0"/>
        <v>人民币</v>
      </c>
      <c r="S58" s="1" t="str">
        <f t="shared" si="11"/>
        <v>0136000390</v>
      </c>
    </row>
    <row r="59" spans="1:19">
      <c r="A59" s="1" t="str">
        <f t="shared" si="10"/>
        <v>20201123</v>
      </c>
      <c r="D59" s="1" t="str">
        <f t="shared" si="12"/>
        <v>偿还融资利息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-5.92</v>
      </c>
      <c r="O59" s="1">
        <v>54817.45</v>
      </c>
      <c r="P59" s="1">
        <v>0</v>
      </c>
      <c r="R59" s="1" t="str">
        <f t="shared" si="0"/>
        <v>人民币</v>
      </c>
      <c r="S59" s="1" t="str">
        <f t="shared" si="11"/>
        <v>0136000390</v>
      </c>
    </row>
    <row r="60" spans="1:19">
      <c r="A60" s="1" t="str">
        <f t="shared" si="10"/>
        <v>20201123</v>
      </c>
      <c r="D60" s="1" t="str">
        <f t="shared" si="13"/>
        <v>偿还融资负债本金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-12756.38</v>
      </c>
      <c r="O60" s="1">
        <v>42061.07</v>
      </c>
      <c r="P60" s="1">
        <v>0</v>
      </c>
      <c r="R60" s="1" t="str">
        <f t="shared" si="0"/>
        <v>人民币</v>
      </c>
      <c r="S60" s="1" t="str">
        <f t="shared" si="11"/>
        <v>0136000390</v>
      </c>
    </row>
    <row r="61" spans="1:19">
      <c r="A61" s="1" t="str">
        <f t="shared" si="10"/>
        <v>20201123</v>
      </c>
      <c r="D61" s="1" t="str">
        <f t="shared" si="12"/>
        <v>偿还融资利息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-5.9</v>
      </c>
      <c r="O61" s="1">
        <v>42055.17</v>
      </c>
      <c r="P61" s="1">
        <v>0</v>
      </c>
      <c r="R61" s="1" t="str">
        <f t="shared" si="0"/>
        <v>人民币</v>
      </c>
      <c r="S61" s="1" t="str">
        <f t="shared" si="11"/>
        <v>0136000390</v>
      </c>
    </row>
    <row r="62" spans="1:19">
      <c r="A62" s="1" t="str">
        <f t="shared" si="10"/>
        <v>20201123</v>
      </c>
      <c r="D62" s="1" t="str">
        <f t="shared" si="13"/>
        <v>偿还融资负债本金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-630.28</v>
      </c>
      <c r="O62" s="1">
        <v>41424.89</v>
      </c>
      <c r="P62" s="1">
        <v>0</v>
      </c>
      <c r="R62" s="1" t="str">
        <f t="shared" si="0"/>
        <v>人民币</v>
      </c>
      <c r="S62" s="1" t="str">
        <f t="shared" si="11"/>
        <v>0136000390</v>
      </c>
    </row>
    <row r="63" spans="1:18">
      <c r="A63" s="1" t="str">
        <f t="shared" ref="A63:A67" si="14">"20201124"</f>
        <v>20201124</v>
      </c>
      <c r="B63" s="1" t="str">
        <f t="shared" ref="B63:B66" si="15">"600028"</f>
        <v>600028</v>
      </c>
      <c r="C63" s="1" t="str">
        <f t="shared" ref="C63:C66" si="16">"中国石化"</f>
        <v>中国石化</v>
      </c>
      <c r="D63" s="1" t="str">
        <f t="shared" ref="D63:D66" si="17">"股息红利差异扣税"</f>
        <v>股息红利差异扣税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-28.5</v>
      </c>
      <c r="O63" s="1">
        <v>41396.39</v>
      </c>
      <c r="P63" s="1">
        <v>0</v>
      </c>
      <c r="Q63" s="1" t="str">
        <f t="shared" ref="Q63:Q66" si="18">"E021635187"</f>
        <v>E021635187</v>
      </c>
      <c r="R63" s="1" t="str">
        <f t="shared" si="0"/>
        <v>人民币</v>
      </c>
    </row>
    <row r="64" spans="1:18">
      <c r="A64" s="1" t="str">
        <f t="shared" si="14"/>
        <v>20201124</v>
      </c>
      <c r="B64" s="1" t="str">
        <f t="shared" si="15"/>
        <v>600028</v>
      </c>
      <c r="C64" s="1" t="str">
        <f t="shared" si="16"/>
        <v>中国石化</v>
      </c>
      <c r="D64" s="1" t="str">
        <f t="shared" si="17"/>
        <v>股息红利差异扣税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-10.5</v>
      </c>
      <c r="O64" s="1">
        <v>41385.89</v>
      </c>
      <c r="P64" s="1">
        <v>0</v>
      </c>
      <c r="Q64" s="1" t="str">
        <f t="shared" si="18"/>
        <v>E021635187</v>
      </c>
      <c r="R64" s="1" t="str">
        <f t="shared" si="0"/>
        <v>人民币</v>
      </c>
    </row>
    <row r="65" spans="1:18">
      <c r="A65" s="1" t="str">
        <f t="shared" si="14"/>
        <v>20201124</v>
      </c>
      <c r="B65" s="1" t="str">
        <f t="shared" si="15"/>
        <v>600028</v>
      </c>
      <c r="C65" s="1" t="str">
        <f t="shared" si="16"/>
        <v>中国石化</v>
      </c>
      <c r="D65" s="1" t="str">
        <f t="shared" si="17"/>
        <v>股息红利差异扣税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-66.5</v>
      </c>
      <c r="O65" s="1">
        <v>41319.39</v>
      </c>
      <c r="P65" s="1">
        <v>0</v>
      </c>
      <c r="Q65" s="1" t="str">
        <f t="shared" si="18"/>
        <v>E021635187</v>
      </c>
      <c r="R65" s="1" t="str">
        <f t="shared" si="0"/>
        <v>人民币</v>
      </c>
    </row>
    <row r="66" spans="1:18">
      <c r="A66" s="1" t="str">
        <f t="shared" si="14"/>
        <v>20201124</v>
      </c>
      <c r="B66" s="1" t="str">
        <f t="shared" si="15"/>
        <v>600028</v>
      </c>
      <c r="C66" s="1" t="str">
        <f t="shared" si="16"/>
        <v>中国石化</v>
      </c>
      <c r="D66" s="1" t="str">
        <f t="shared" si="17"/>
        <v>股息红利差异扣税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-24.5</v>
      </c>
      <c r="O66" s="1">
        <v>41294.89</v>
      </c>
      <c r="P66" s="1">
        <v>0</v>
      </c>
      <c r="Q66" s="1" t="str">
        <f t="shared" si="18"/>
        <v>E021635187</v>
      </c>
      <c r="R66" s="1" t="str">
        <f t="shared" ref="R66:R103" si="19">"人民币"</f>
        <v>人民币</v>
      </c>
    </row>
    <row r="67" spans="1:19">
      <c r="A67" s="1" t="str">
        <f t="shared" si="14"/>
        <v>20201124</v>
      </c>
      <c r="B67" s="1" t="str">
        <f>"000543"</f>
        <v>000543</v>
      </c>
      <c r="C67" s="1" t="str">
        <f>"皖能电力"</f>
        <v>皖能电力</v>
      </c>
      <c r="D67" s="1" t="str">
        <f>"担保品卖出"</f>
        <v>担保品卖出</v>
      </c>
      <c r="E67" s="1">
        <v>4.17</v>
      </c>
      <c r="F67" s="1">
        <v>3000</v>
      </c>
      <c r="G67" s="1">
        <v>12510</v>
      </c>
      <c r="H67" s="1">
        <v>5</v>
      </c>
      <c r="I67" s="1">
        <v>3.89</v>
      </c>
      <c r="J67" s="1">
        <v>12.51</v>
      </c>
      <c r="K67" s="1">
        <v>0</v>
      </c>
      <c r="L67" s="1">
        <v>0</v>
      </c>
      <c r="M67" s="1">
        <v>0</v>
      </c>
      <c r="N67" s="1">
        <v>12492.49</v>
      </c>
      <c r="O67" s="1">
        <v>53787.38</v>
      </c>
      <c r="P67" s="1">
        <v>22000</v>
      </c>
      <c r="Q67" s="1" t="str">
        <f>"0602175409"</f>
        <v>0602175409</v>
      </c>
      <c r="R67" s="1" t="str">
        <f t="shared" si="19"/>
        <v>人民币</v>
      </c>
      <c r="S67" s="1" t="str">
        <f>"T4001148"</f>
        <v>T4001148</v>
      </c>
    </row>
    <row r="68" spans="1:18">
      <c r="A68" s="1" t="str">
        <f t="shared" ref="A68:A75" si="20">"20201127"</f>
        <v>20201127</v>
      </c>
      <c r="D68" s="1" t="str">
        <f>"偿还融券费用"</f>
        <v>偿还融券费用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-13.97</v>
      </c>
      <c r="O68" s="1">
        <v>53773.41</v>
      </c>
      <c r="P68" s="1">
        <v>0</v>
      </c>
      <c r="R68" s="1" t="str">
        <f t="shared" si="19"/>
        <v>人民币</v>
      </c>
    </row>
    <row r="69" spans="1:18">
      <c r="A69" s="1" t="str">
        <f t="shared" si="20"/>
        <v>20201127</v>
      </c>
      <c r="D69" s="1" t="str">
        <f>"偿还融券费用"</f>
        <v>偿还融券费用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-13.97</v>
      </c>
      <c r="O69" s="1">
        <v>53759.44</v>
      </c>
      <c r="P69" s="1">
        <v>0</v>
      </c>
      <c r="R69" s="1" t="str">
        <f t="shared" si="19"/>
        <v>人民币</v>
      </c>
    </row>
    <row r="70" spans="1:18">
      <c r="A70" s="1" t="str">
        <f t="shared" si="20"/>
        <v>20201127</v>
      </c>
      <c r="D70" s="1" t="str">
        <f t="shared" ref="D70:D74" si="21">"偿还融资利息"</f>
        <v>偿还融资利息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-11.24</v>
      </c>
      <c r="O70" s="1">
        <v>53748.2</v>
      </c>
      <c r="P70" s="1">
        <v>0</v>
      </c>
      <c r="R70" s="1" t="str">
        <f t="shared" si="19"/>
        <v>人民币</v>
      </c>
    </row>
    <row r="71" spans="1:18">
      <c r="A71" s="1" t="str">
        <f t="shared" si="20"/>
        <v>20201127</v>
      </c>
      <c r="D71" s="1" t="str">
        <f t="shared" ref="D71:D75" si="22">"偿还融资负债本金"</f>
        <v>偿还融资负债本金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-12096.08</v>
      </c>
      <c r="O71" s="1">
        <v>41652.12</v>
      </c>
      <c r="P71" s="1">
        <v>0</v>
      </c>
      <c r="R71" s="1" t="str">
        <f t="shared" si="19"/>
        <v>人民币</v>
      </c>
    </row>
    <row r="72" spans="1:18">
      <c r="A72" s="1" t="str">
        <f t="shared" si="20"/>
        <v>20201127</v>
      </c>
      <c r="D72" s="1" t="str">
        <f t="shared" si="21"/>
        <v>偿还融资利息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-21.79</v>
      </c>
      <c r="O72" s="1">
        <v>41630.33</v>
      </c>
      <c r="P72" s="1">
        <v>0</v>
      </c>
      <c r="R72" s="1" t="str">
        <f t="shared" si="19"/>
        <v>人民币</v>
      </c>
    </row>
    <row r="73" spans="1:18">
      <c r="A73" s="1" t="str">
        <f t="shared" si="20"/>
        <v>20201127</v>
      </c>
      <c r="D73" s="1" t="str">
        <f t="shared" si="22"/>
        <v>偿还融资负债本金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-15667.83</v>
      </c>
      <c r="O73" s="1">
        <v>25962.5</v>
      </c>
      <c r="P73" s="1">
        <v>0</v>
      </c>
      <c r="R73" s="1" t="str">
        <f t="shared" si="19"/>
        <v>人民币</v>
      </c>
    </row>
    <row r="74" spans="1:18">
      <c r="A74" s="1" t="str">
        <f t="shared" si="20"/>
        <v>20201127</v>
      </c>
      <c r="D74" s="1" t="str">
        <f t="shared" si="21"/>
        <v>偿还融资利息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-17.7</v>
      </c>
      <c r="O74" s="1">
        <v>25944.8</v>
      </c>
      <c r="P74" s="1">
        <v>0</v>
      </c>
      <c r="R74" s="1" t="str">
        <f t="shared" si="19"/>
        <v>人民币</v>
      </c>
    </row>
    <row r="75" spans="1:18">
      <c r="A75" s="1" t="str">
        <f t="shared" si="20"/>
        <v>20201127</v>
      </c>
      <c r="D75" s="1" t="str">
        <f t="shared" si="22"/>
        <v>偿还融资负债本金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-157.42</v>
      </c>
      <c r="O75" s="1">
        <v>25787.38</v>
      </c>
      <c r="P75" s="1">
        <v>0</v>
      </c>
      <c r="R75" s="1" t="str">
        <f t="shared" si="19"/>
        <v>人民币</v>
      </c>
    </row>
    <row r="76" spans="1:19">
      <c r="A76" s="1" t="str">
        <f>"20201204"</f>
        <v>20201204</v>
      </c>
      <c r="B76" s="1" t="str">
        <f>"000543"</f>
        <v>000543</v>
      </c>
      <c r="C76" s="1" t="str">
        <f>"皖能电力"</f>
        <v>皖能电力</v>
      </c>
      <c r="D76" s="1" t="str">
        <f>"融资买入"</f>
        <v>融资买入</v>
      </c>
      <c r="E76" s="1">
        <v>4.1</v>
      </c>
      <c r="F76" s="1">
        <v>4000</v>
      </c>
      <c r="G76" s="1">
        <v>16400</v>
      </c>
      <c r="H76" s="1">
        <v>8.2</v>
      </c>
      <c r="I76" s="1">
        <v>6.74</v>
      </c>
      <c r="J76" s="1">
        <v>0</v>
      </c>
      <c r="K76" s="1">
        <v>0</v>
      </c>
      <c r="L76" s="1">
        <v>0</v>
      </c>
      <c r="M76" s="1">
        <v>0</v>
      </c>
      <c r="N76" s="1">
        <v>-16408.2</v>
      </c>
      <c r="O76" s="1">
        <v>9379.18</v>
      </c>
      <c r="P76" s="1">
        <v>26000</v>
      </c>
      <c r="Q76" s="1" t="str">
        <f t="shared" ref="Q76:Q81" si="23">"0602175409"</f>
        <v>0602175409</v>
      </c>
      <c r="R76" s="1" t="str">
        <f t="shared" si="19"/>
        <v>人民币</v>
      </c>
      <c r="S76" s="1" t="str">
        <f>"T4000188"</f>
        <v>T4000188</v>
      </c>
    </row>
    <row r="77" spans="1:19">
      <c r="A77" s="1" t="str">
        <f>"20201204"</f>
        <v>20201204</v>
      </c>
      <c r="D77" s="1" t="str">
        <f>"融资借入"</f>
        <v>融资借入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16408.2</v>
      </c>
      <c r="O77" s="1">
        <v>25787.38</v>
      </c>
      <c r="P77" s="1">
        <v>0</v>
      </c>
      <c r="R77" s="1" t="str">
        <f t="shared" si="19"/>
        <v>人民币</v>
      </c>
      <c r="S77" s="1" t="str">
        <f>"T4000188"</f>
        <v>T4000188</v>
      </c>
    </row>
    <row r="78" spans="1:19">
      <c r="A78" s="1" t="str">
        <f>"20201214"</f>
        <v>20201214</v>
      </c>
      <c r="B78" s="1" t="str">
        <f>"000543"</f>
        <v>000543</v>
      </c>
      <c r="C78" s="1" t="str">
        <f>"皖能电力"</f>
        <v>皖能电力</v>
      </c>
      <c r="D78" s="1" t="str">
        <f>"融资买入"</f>
        <v>融资买入</v>
      </c>
      <c r="E78" s="1">
        <v>3.97</v>
      </c>
      <c r="F78" s="1">
        <v>4000</v>
      </c>
      <c r="G78" s="1">
        <v>15880</v>
      </c>
      <c r="H78" s="1">
        <v>7.94</v>
      </c>
      <c r="I78" s="1">
        <v>6.5</v>
      </c>
      <c r="J78" s="1">
        <v>0</v>
      </c>
      <c r="K78" s="1">
        <v>0</v>
      </c>
      <c r="L78" s="1">
        <v>0</v>
      </c>
      <c r="M78" s="1">
        <v>0</v>
      </c>
      <c r="N78" s="1">
        <v>-15887.94</v>
      </c>
      <c r="O78" s="1">
        <v>9899.44</v>
      </c>
      <c r="P78" s="1">
        <v>30000</v>
      </c>
      <c r="Q78" s="1" t="str">
        <f t="shared" si="23"/>
        <v>0602175409</v>
      </c>
      <c r="R78" s="1" t="str">
        <f t="shared" si="19"/>
        <v>人民币</v>
      </c>
      <c r="S78" s="1" t="str">
        <f>"T4000628"</f>
        <v>T4000628</v>
      </c>
    </row>
    <row r="79" spans="1:19">
      <c r="A79" s="1" t="str">
        <f>"20201214"</f>
        <v>20201214</v>
      </c>
      <c r="D79" s="1" t="str">
        <f>"融资借入"</f>
        <v>融资借入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15887.94</v>
      </c>
      <c r="O79" s="1">
        <v>25787.38</v>
      </c>
      <c r="P79" s="1">
        <v>0</v>
      </c>
      <c r="R79" s="1" t="str">
        <f t="shared" si="19"/>
        <v>人民币</v>
      </c>
      <c r="S79" s="1" t="str">
        <f>"T4000628"</f>
        <v>T4000628</v>
      </c>
    </row>
    <row r="80" spans="1:19">
      <c r="A80" s="1" t="str">
        <f>"20201217"</f>
        <v>20201217</v>
      </c>
      <c r="B80" s="1" t="str">
        <f>"002183"</f>
        <v>002183</v>
      </c>
      <c r="C80" s="1" t="str">
        <f>"怡 亚 通"</f>
        <v>怡 亚 通</v>
      </c>
      <c r="D80" s="1" t="str">
        <f>"担保品卖出"</f>
        <v>担保品卖出</v>
      </c>
      <c r="E80" s="1">
        <v>4.51</v>
      </c>
      <c r="F80" s="1">
        <v>3000</v>
      </c>
      <c r="G80" s="1">
        <v>13530</v>
      </c>
      <c r="H80" s="1">
        <v>5</v>
      </c>
      <c r="I80" s="1">
        <v>3.8</v>
      </c>
      <c r="J80" s="1">
        <v>13.53</v>
      </c>
      <c r="K80" s="1">
        <v>0</v>
      </c>
      <c r="L80" s="1">
        <v>0</v>
      </c>
      <c r="M80" s="1">
        <v>0</v>
      </c>
      <c r="N80" s="1">
        <v>13511.47</v>
      </c>
      <c r="O80" s="1">
        <v>39298.85</v>
      </c>
      <c r="P80" s="1">
        <v>12500</v>
      </c>
      <c r="Q80" s="1" t="str">
        <f t="shared" si="23"/>
        <v>0602175409</v>
      </c>
      <c r="R80" s="1" t="str">
        <f t="shared" si="19"/>
        <v>人民币</v>
      </c>
      <c r="S80" s="1" t="str">
        <f>"T4001227"</f>
        <v>T4001227</v>
      </c>
    </row>
    <row r="81" spans="1:18">
      <c r="A81" s="1" t="str">
        <f t="shared" ref="A81:A96" si="24">"20201218"</f>
        <v>20201218</v>
      </c>
      <c r="B81" s="1" t="str">
        <f>"002183"</f>
        <v>002183</v>
      </c>
      <c r="C81" s="1" t="str">
        <f>"怡 亚 通"</f>
        <v>怡 亚 通</v>
      </c>
      <c r="D81" s="1" t="str">
        <f>"股息红利差异扣税"</f>
        <v>股息红利差异扣税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-0.5</v>
      </c>
      <c r="O81" s="1">
        <v>39298.35</v>
      </c>
      <c r="P81" s="1">
        <v>0</v>
      </c>
      <c r="Q81" s="1" t="str">
        <f t="shared" si="23"/>
        <v>0602175409</v>
      </c>
      <c r="R81" s="1" t="str">
        <f t="shared" si="19"/>
        <v>人民币</v>
      </c>
    </row>
    <row r="82" spans="1:18">
      <c r="A82" s="1" t="str">
        <f t="shared" si="24"/>
        <v>20201218</v>
      </c>
      <c r="D82" s="1" t="str">
        <f>"利息归本"</f>
        <v>利息归本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26.56</v>
      </c>
      <c r="O82" s="1">
        <v>39324.91</v>
      </c>
      <c r="P82" s="1">
        <v>0</v>
      </c>
      <c r="R82" s="1" t="str">
        <f t="shared" si="19"/>
        <v>人民币</v>
      </c>
    </row>
    <row r="83" spans="1:19">
      <c r="A83" s="1" t="str">
        <f t="shared" si="24"/>
        <v>20201218</v>
      </c>
      <c r="B83" s="1" t="str">
        <f>"000543"</f>
        <v>000543</v>
      </c>
      <c r="C83" s="1" t="str">
        <f>"皖能电力"</f>
        <v>皖能电力</v>
      </c>
      <c r="D83" s="1" t="str">
        <f>"卖券还款"</f>
        <v>卖券还款</v>
      </c>
      <c r="E83" s="1">
        <v>4.1</v>
      </c>
      <c r="F83" s="1">
        <v>4000</v>
      </c>
      <c r="G83" s="1">
        <v>16400</v>
      </c>
      <c r="H83" s="1">
        <v>8.2</v>
      </c>
      <c r="I83" s="1">
        <v>6.74</v>
      </c>
      <c r="J83" s="1">
        <v>16.4</v>
      </c>
      <c r="K83" s="1">
        <v>0</v>
      </c>
      <c r="L83" s="1">
        <v>0</v>
      </c>
      <c r="M83" s="1">
        <v>0</v>
      </c>
      <c r="N83" s="1">
        <v>16375.4</v>
      </c>
      <c r="O83" s="1">
        <v>55700.31</v>
      </c>
      <c r="P83" s="1">
        <v>26000</v>
      </c>
      <c r="Q83" s="1" t="str">
        <f>"0602175409"</f>
        <v>0602175409</v>
      </c>
      <c r="R83" s="1" t="str">
        <f t="shared" si="19"/>
        <v>人民币</v>
      </c>
      <c r="S83" s="1" t="str">
        <f t="shared" ref="S83:S87" si="25">"T4000066"</f>
        <v>T4000066</v>
      </c>
    </row>
    <row r="84" spans="1:19">
      <c r="A84" s="1" t="str">
        <f t="shared" si="24"/>
        <v>20201218</v>
      </c>
      <c r="D84" s="1" t="str">
        <f t="shared" ref="D84:D94" si="26">"偿还融资利息"</f>
        <v>偿还融资利息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-61.29</v>
      </c>
      <c r="O84" s="1">
        <v>55639.02</v>
      </c>
      <c r="P84" s="1">
        <v>0</v>
      </c>
      <c r="R84" s="1" t="str">
        <f t="shared" si="19"/>
        <v>人民币</v>
      </c>
      <c r="S84" s="1" t="str">
        <f t="shared" si="25"/>
        <v>T4000066</v>
      </c>
    </row>
    <row r="85" spans="1:19">
      <c r="A85" s="1" t="str">
        <f t="shared" si="24"/>
        <v>20201218</v>
      </c>
      <c r="D85" s="1" t="str">
        <f>"偿还融资负债本金"</f>
        <v>偿还融资负债本金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-12568.94</v>
      </c>
      <c r="O85" s="1">
        <v>43070.08</v>
      </c>
      <c r="P85" s="1">
        <v>0</v>
      </c>
      <c r="R85" s="1" t="str">
        <f t="shared" si="19"/>
        <v>人民币</v>
      </c>
      <c r="S85" s="1" t="str">
        <f t="shared" si="25"/>
        <v>T4000066</v>
      </c>
    </row>
    <row r="86" spans="1:19">
      <c r="A86" s="1" t="str">
        <f t="shared" si="24"/>
        <v>20201218</v>
      </c>
      <c r="D86" s="1" t="str">
        <f t="shared" si="26"/>
        <v>偿还融资利息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-79.65</v>
      </c>
      <c r="O86" s="1">
        <v>42990.43</v>
      </c>
      <c r="P86" s="1">
        <v>0</v>
      </c>
      <c r="R86" s="1" t="str">
        <f t="shared" si="19"/>
        <v>人民币</v>
      </c>
      <c r="S86" s="1" t="str">
        <f t="shared" si="25"/>
        <v>T4000066</v>
      </c>
    </row>
    <row r="87" spans="1:19">
      <c r="A87" s="1" t="str">
        <f t="shared" si="24"/>
        <v>20201218</v>
      </c>
      <c r="D87" s="1" t="str">
        <f>"偿还融资负债本金"</f>
        <v>偿还融资负债本金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-3624.52</v>
      </c>
      <c r="O87" s="1">
        <v>39365.91</v>
      </c>
      <c r="P87" s="1">
        <v>0</v>
      </c>
      <c r="R87" s="1" t="str">
        <f t="shared" si="19"/>
        <v>人民币</v>
      </c>
      <c r="S87" s="1" t="str">
        <f t="shared" si="25"/>
        <v>T4000066</v>
      </c>
    </row>
    <row r="88" spans="1:18">
      <c r="A88" s="1" t="str">
        <f t="shared" si="24"/>
        <v>20201218</v>
      </c>
      <c r="D88" s="1" t="str">
        <f t="shared" si="26"/>
        <v>偿还融资利息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-2.11</v>
      </c>
      <c r="O88" s="1">
        <v>39363.8</v>
      </c>
      <c r="P88" s="1">
        <v>0</v>
      </c>
      <c r="R88" s="1" t="str">
        <f t="shared" si="19"/>
        <v>人民币</v>
      </c>
    </row>
    <row r="89" spans="1:18">
      <c r="A89" s="1" t="str">
        <f t="shared" si="24"/>
        <v>20201218</v>
      </c>
      <c r="D89" s="1" t="str">
        <f t="shared" si="26"/>
        <v>偿还融资利息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-82.6</v>
      </c>
      <c r="O89" s="1">
        <v>39281.2</v>
      </c>
      <c r="P89" s="1">
        <v>0</v>
      </c>
      <c r="R89" s="1" t="str">
        <f t="shared" si="19"/>
        <v>人民币</v>
      </c>
    </row>
    <row r="90" spans="1:18">
      <c r="A90" s="1" t="str">
        <f t="shared" si="24"/>
        <v>20201218</v>
      </c>
      <c r="D90" s="1" t="str">
        <f t="shared" si="26"/>
        <v>偿还融资利息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-99.96</v>
      </c>
      <c r="O90" s="1">
        <v>39181.24</v>
      </c>
      <c r="P90" s="1">
        <v>0</v>
      </c>
      <c r="R90" s="1" t="str">
        <f t="shared" si="19"/>
        <v>人民币</v>
      </c>
    </row>
    <row r="91" spans="1:18">
      <c r="A91" s="1" t="str">
        <f t="shared" si="24"/>
        <v>20201218</v>
      </c>
      <c r="D91" s="1" t="str">
        <f t="shared" si="26"/>
        <v>偿还融资利息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-80.36</v>
      </c>
      <c r="O91" s="1">
        <v>39100.88</v>
      </c>
      <c r="P91" s="1">
        <v>0</v>
      </c>
      <c r="R91" s="1" t="str">
        <f t="shared" si="19"/>
        <v>人民币</v>
      </c>
    </row>
    <row r="92" spans="1:18">
      <c r="A92" s="1" t="str">
        <f t="shared" si="24"/>
        <v>20201218</v>
      </c>
      <c r="D92" s="1" t="str">
        <f t="shared" si="26"/>
        <v>偿还融资利息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-103.28</v>
      </c>
      <c r="O92" s="1">
        <v>38997.6</v>
      </c>
      <c r="P92" s="1">
        <v>0</v>
      </c>
      <c r="R92" s="1" t="str">
        <f t="shared" si="19"/>
        <v>人民币</v>
      </c>
    </row>
    <row r="93" spans="1:18">
      <c r="A93" s="1" t="str">
        <f t="shared" si="24"/>
        <v>20201218</v>
      </c>
      <c r="D93" s="1" t="str">
        <f t="shared" si="26"/>
        <v>偿还融资利息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-57.13</v>
      </c>
      <c r="O93" s="1">
        <v>38940.47</v>
      </c>
      <c r="P93" s="1">
        <v>0</v>
      </c>
      <c r="R93" s="1" t="str">
        <f t="shared" si="19"/>
        <v>人民币</v>
      </c>
    </row>
    <row r="94" spans="1:18">
      <c r="A94" s="1" t="str">
        <f t="shared" si="24"/>
        <v>20201218</v>
      </c>
      <c r="D94" s="1" t="str">
        <f t="shared" si="26"/>
        <v>偿还融资利息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-18.45</v>
      </c>
      <c r="O94" s="1">
        <v>38922.02</v>
      </c>
      <c r="P94" s="1">
        <v>0</v>
      </c>
      <c r="R94" s="1" t="str">
        <f t="shared" si="19"/>
        <v>人民币</v>
      </c>
    </row>
    <row r="95" spans="1:18">
      <c r="A95" s="1" t="str">
        <f t="shared" si="24"/>
        <v>20201218</v>
      </c>
      <c r="D95" s="1" t="str">
        <f>"偿还融券费用"</f>
        <v>偿还融券费用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-77.49</v>
      </c>
      <c r="O95" s="1">
        <v>38844.53</v>
      </c>
      <c r="P95" s="1">
        <v>0</v>
      </c>
      <c r="R95" s="1" t="str">
        <f t="shared" si="19"/>
        <v>人民币</v>
      </c>
    </row>
    <row r="96" spans="1:18">
      <c r="A96" s="1" t="str">
        <f t="shared" si="24"/>
        <v>20201218</v>
      </c>
      <c r="D96" s="1" t="str">
        <f>"偿还融券费用"</f>
        <v>偿还融券费用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-77.49</v>
      </c>
      <c r="O96" s="1">
        <v>38767.04</v>
      </c>
      <c r="P96" s="1">
        <v>0</v>
      </c>
      <c r="R96" s="1" t="str">
        <f t="shared" si="19"/>
        <v>人民币</v>
      </c>
    </row>
    <row r="97" spans="1:19">
      <c r="A97" s="1" t="str">
        <f t="shared" ref="A97:A103" si="27">"20201222"</f>
        <v>20201222</v>
      </c>
      <c r="B97" s="1" t="str">
        <f>"000543"</f>
        <v>000543</v>
      </c>
      <c r="C97" s="1" t="str">
        <f>"皖能电力"</f>
        <v>皖能电力</v>
      </c>
      <c r="D97" s="1" t="str">
        <f>"担保品卖出"</f>
        <v>担保品卖出</v>
      </c>
      <c r="E97" s="1">
        <v>4.2</v>
      </c>
      <c r="F97" s="1">
        <v>4000</v>
      </c>
      <c r="G97" s="1">
        <v>16800</v>
      </c>
      <c r="H97" s="1">
        <v>5.21</v>
      </c>
      <c r="I97" s="1">
        <v>3.71</v>
      </c>
      <c r="J97" s="1">
        <v>16.8</v>
      </c>
      <c r="K97" s="1">
        <v>0</v>
      </c>
      <c r="L97" s="1">
        <v>0</v>
      </c>
      <c r="M97" s="1">
        <v>0</v>
      </c>
      <c r="N97" s="1">
        <v>16777.99</v>
      </c>
      <c r="O97" s="1">
        <v>55545.03</v>
      </c>
      <c r="P97" s="1">
        <v>22000</v>
      </c>
      <c r="Q97" s="1" t="str">
        <f>"0602175409"</f>
        <v>0602175409</v>
      </c>
      <c r="R97" s="1" t="str">
        <f t="shared" si="19"/>
        <v>人民币</v>
      </c>
      <c r="S97" s="1" t="str">
        <f>"T4000549"</f>
        <v>T4000549</v>
      </c>
    </row>
    <row r="98" spans="1:18">
      <c r="A98" s="1" t="str">
        <f t="shared" si="27"/>
        <v>20201222</v>
      </c>
      <c r="D98" s="1" t="str">
        <f t="shared" ref="D98:D102" si="28">"偿还融资利息"</f>
        <v>偿还融资利息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-6.33</v>
      </c>
      <c r="O98" s="1">
        <v>55538.7</v>
      </c>
      <c r="P98" s="1">
        <v>0</v>
      </c>
      <c r="R98" s="1" t="str">
        <f t="shared" si="19"/>
        <v>人民币</v>
      </c>
    </row>
    <row r="99" spans="1:18">
      <c r="A99" s="1" t="str">
        <f t="shared" si="27"/>
        <v>20201222</v>
      </c>
      <c r="D99" s="1" t="str">
        <f t="shared" ref="D99:D103" si="29">"偿还融资负债本金"</f>
        <v>偿还融资负债本金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-9101.84</v>
      </c>
      <c r="O99" s="1">
        <v>46436.86</v>
      </c>
      <c r="P99" s="1">
        <v>0</v>
      </c>
      <c r="R99" s="1" t="str">
        <f t="shared" si="19"/>
        <v>人民币</v>
      </c>
    </row>
    <row r="100" spans="1:18">
      <c r="A100" s="1" t="str">
        <f t="shared" si="27"/>
        <v>20201222</v>
      </c>
      <c r="D100" s="1" t="str">
        <f t="shared" si="28"/>
        <v>偿还融资利息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-8.85</v>
      </c>
      <c r="O100" s="1">
        <v>46428.01</v>
      </c>
      <c r="P100" s="1">
        <v>0</v>
      </c>
      <c r="R100" s="1" t="str">
        <f t="shared" si="19"/>
        <v>人民币</v>
      </c>
    </row>
    <row r="101" spans="1:18">
      <c r="A101" s="1" t="str">
        <f t="shared" si="27"/>
        <v>20201222</v>
      </c>
      <c r="D101" s="1" t="str">
        <f t="shared" si="29"/>
        <v>偿还融资负债本金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-12726.36</v>
      </c>
      <c r="O101" s="1">
        <v>33701.65</v>
      </c>
      <c r="P101" s="1">
        <v>0</v>
      </c>
      <c r="R101" s="1" t="str">
        <f t="shared" si="19"/>
        <v>人民币</v>
      </c>
    </row>
    <row r="102" spans="1:18">
      <c r="A102" s="1" t="str">
        <f t="shared" si="27"/>
        <v>20201222</v>
      </c>
      <c r="D102" s="1" t="str">
        <f t="shared" si="28"/>
        <v>偿还融资利息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-10.71</v>
      </c>
      <c r="O102" s="1">
        <v>33690.94</v>
      </c>
      <c r="P102" s="1">
        <v>0</v>
      </c>
      <c r="R102" s="1" t="str">
        <f t="shared" si="19"/>
        <v>人民币</v>
      </c>
    </row>
    <row r="103" spans="1:18">
      <c r="A103" s="1" t="str">
        <f t="shared" si="27"/>
        <v>20201222</v>
      </c>
      <c r="D103" s="1" t="str">
        <f t="shared" si="29"/>
        <v>偿还融资负债本金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-8145.91</v>
      </c>
      <c r="O103" s="1">
        <v>25545.03</v>
      </c>
      <c r="P103" s="1">
        <v>0</v>
      </c>
      <c r="R103" s="1" t="str">
        <f t="shared" si="19"/>
        <v>人民币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8"/>
  <sheetViews>
    <sheetView zoomScaleSheetLayoutView="60" workbookViewId="0">
      <selection activeCell="O38" sqref="O38"/>
    </sheetView>
  </sheetViews>
  <sheetFormatPr defaultColWidth="9" defaultRowHeight="13.5"/>
  <cols>
    <col min="1" max="16384" width="9" style="1"/>
  </cols>
  <sheetData>
    <row r="1" spans="1:19">
      <c r="A1" s="1" t="str">
        <f>"交割日期"</f>
        <v>交割日期</v>
      </c>
      <c r="B1" s="1" t="str">
        <f>"证券代码"</f>
        <v>证券代码</v>
      </c>
      <c r="C1" s="1" t="str">
        <f>"证券名称"</f>
        <v>证券名称</v>
      </c>
      <c r="D1" s="1" t="str">
        <f>"业务名称"</f>
        <v>业务名称</v>
      </c>
      <c r="E1" s="1" t="str">
        <f>"成交价格"</f>
        <v>成交价格</v>
      </c>
      <c r="F1" s="1" t="str">
        <f>"成交数量"</f>
        <v>成交数量</v>
      </c>
      <c r="G1" s="1" t="str">
        <f>"成交金额"</f>
        <v>成交金额</v>
      </c>
      <c r="H1" s="1" t="str">
        <f>"手续费"</f>
        <v>手续费</v>
      </c>
      <c r="I1" s="1" t="str">
        <f>"净佣金"</f>
        <v>净佣金</v>
      </c>
      <c r="J1" s="1" t="str">
        <f>"印花税"</f>
        <v>印花税</v>
      </c>
      <c r="K1" s="1" t="str">
        <f>"过户费"</f>
        <v>过户费</v>
      </c>
      <c r="L1" s="1" t="str">
        <f>"结算费"</f>
        <v>结算费</v>
      </c>
      <c r="M1" s="1" t="str">
        <f>"其他费"</f>
        <v>其他费</v>
      </c>
      <c r="N1" s="1" t="str">
        <f>"发生金额"</f>
        <v>发生金额</v>
      </c>
      <c r="O1" s="1" t="str">
        <f>"剩余金额"</f>
        <v>剩余金额</v>
      </c>
      <c r="P1" s="1" t="str">
        <f>"证券数量"</f>
        <v>证券数量</v>
      </c>
      <c r="Q1" s="1" t="str">
        <f>"股东代码"</f>
        <v>股东代码</v>
      </c>
      <c r="R1" s="1" t="str">
        <f>"币种"</f>
        <v>币种</v>
      </c>
      <c r="S1" s="1" t="str">
        <f>"成交编号"</f>
        <v>成交编号</v>
      </c>
    </row>
    <row r="2" spans="1:19">
      <c r="A2" s="1" t="str">
        <f>"20210105"</f>
        <v>20210105</v>
      </c>
      <c r="B2" s="1" t="str">
        <f>"000543"</f>
        <v>000543</v>
      </c>
      <c r="C2" s="1" t="str">
        <f>"皖能电力"</f>
        <v>皖能电力</v>
      </c>
      <c r="D2" s="1" t="str">
        <f>"融资买入"</f>
        <v>融资买入</v>
      </c>
      <c r="E2" s="1">
        <v>4.09</v>
      </c>
      <c r="F2" s="1">
        <v>4000</v>
      </c>
      <c r="G2" s="1">
        <v>16360</v>
      </c>
      <c r="H2" s="1">
        <v>8.18</v>
      </c>
      <c r="I2" s="1">
        <v>6.72</v>
      </c>
      <c r="J2" s="1">
        <v>0</v>
      </c>
      <c r="K2" s="1">
        <v>0</v>
      </c>
      <c r="L2" s="1">
        <v>0</v>
      </c>
      <c r="M2" s="1">
        <v>0</v>
      </c>
      <c r="N2" s="1">
        <v>-16368.18</v>
      </c>
      <c r="O2" s="1">
        <v>9176.85</v>
      </c>
      <c r="P2" s="1">
        <v>26000</v>
      </c>
      <c r="Q2" s="1" t="str">
        <f>"0602175409"</f>
        <v>0602175409</v>
      </c>
      <c r="R2" s="1" t="str">
        <f t="shared" ref="R2:R28" si="0">"人民币"</f>
        <v>人民币</v>
      </c>
      <c r="S2" s="1" t="str">
        <f>"T4000967"</f>
        <v>T4000967</v>
      </c>
    </row>
    <row r="3" spans="1:19">
      <c r="A3" s="1" t="str">
        <f>"20210105"</f>
        <v>20210105</v>
      </c>
      <c r="D3" s="1" t="str">
        <f>"融资借入"</f>
        <v>融资借入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16368.18</v>
      </c>
      <c r="O3" s="1">
        <v>25545.03</v>
      </c>
      <c r="P3" s="1">
        <v>0</v>
      </c>
      <c r="R3" s="1" t="str">
        <f t="shared" si="0"/>
        <v>人民币</v>
      </c>
      <c r="S3" s="1" t="str">
        <f>"T4000967"</f>
        <v>T4000967</v>
      </c>
    </row>
    <row r="4" spans="1:19">
      <c r="A4" s="1" t="str">
        <f>"20210107"</f>
        <v>20210107</v>
      </c>
      <c r="B4" s="1" t="str">
        <f>"000543"</f>
        <v>000543</v>
      </c>
      <c r="C4" s="1" t="str">
        <f>"皖能电力"</f>
        <v>皖能电力</v>
      </c>
      <c r="D4" s="1" t="str">
        <f>"融资买入"</f>
        <v>融资买入</v>
      </c>
      <c r="E4" s="1">
        <v>4</v>
      </c>
      <c r="F4" s="1">
        <v>5000</v>
      </c>
      <c r="G4" s="1">
        <v>20000</v>
      </c>
      <c r="H4" s="1">
        <v>10</v>
      </c>
      <c r="I4" s="1">
        <v>8.23</v>
      </c>
      <c r="J4" s="1">
        <v>0</v>
      </c>
      <c r="K4" s="1">
        <v>0</v>
      </c>
      <c r="L4" s="1">
        <v>0</v>
      </c>
      <c r="M4" s="1">
        <v>0</v>
      </c>
      <c r="N4" s="1">
        <v>-20010</v>
      </c>
      <c r="O4" s="1">
        <v>5535.03</v>
      </c>
      <c r="P4" s="1">
        <v>31000</v>
      </c>
      <c r="Q4" s="1" t="str">
        <f>"0602175409"</f>
        <v>0602175409</v>
      </c>
      <c r="R4" s="1" t="str">
        <f t="shared" si="0"/>
        <v>人民币</v>
      </c>
      <c r="S4" s="1" t="str">
        <f>"T4000857"</f>
        <v>T4000857</v>
      </c>
    </row>
    <row r="5" spans="1:19">
      <c r="A5" s="1" t="str">
        <f>"20210107"</f>
        <v>20210107</v>
      </c>
      <c r="D5" s="1" t="str">
        <f>"融资借入"</f>
        <v>融资借入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20010</v>
      </c>
      <c r="O5" s="1">
        <v>25545.03</v>
      </c>
      <c r="P5" s="1">
        <v>0</v>
      </c>
      <c r="R5" s="1" t="str">
        <f t="shared" si="0"/>
        <v>人民币</v>
      </c>
      <c r="S5" s="1" t="str">
        <f>"T4000857"</f>
        <v>T4000857</v>
      </c>
    </row>
    <row r="6" spans="1:18">
      <c r="A6" s="1" t="str">
        <f>"20210118"</f>
        <v>20210118</v>
      </c>
      <c r="D6" s="1" t="str">
        <f>"偿还融券权益金额"</f>
        <v>偿还融券权益金额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-216</v>
      </c>
      <c r="O6" s="1">
        <v>25329.03</v>
      </c>
      <c r="P6" s="1">
        <v>0</v>
      </c>
      <c r="R6" s="1" t="str">
        <f t="shared" si="0"/>
        <v>人民币</v>
      </c>
    </row>
    <row r="7" spans="1:18">
      <c r="A7" s="1" t="str">
        <f>"20210118"</f>
        <v>20210118</v>
      </c>
      <c r="D7" s="1" t="str">
        <f>"偿还融券权益金额"</f>
        <v>偿还融券权益金额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-216</v>
      </c>
      <c r="O7" s="1">
        <v>25113.03</v>
      </c>
      <c r="P7" s="1">
        <v>0</v>
      </c>
      <c r="R7" s="1" t="str">
        <f t="shared" si="0"/>
        <v>人民币</v>
      </c>
    </row>
    <row r="8" spans="1:18">
      <c r="A8" s="1" t="str">
        <f t="shared" ref="A8:A14" si="1">"20210120"</f>
        <v>20210120</v>
      </c>
      <c r="D8" s="1" t="str">
        <f t="shared" ref="D8:D12" si="2">"偿还融资利息"</f>
        <v>偿还融资利息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-50.41</v>
      </c>
      <c r="O8" s="1">
        <v>25062.62</v>
      </c>
      <c r="P8" s="1">
        <v>0</v>
      </c>
      <c r="R8" s="1" t="str">
        <f t="shared" si="0"/>
        <v>人民币</v>
      </c>
    </row>
    <row r="9" spans="1:18">
      <c r="A9" s="1" t="str">
        <f t="shared" si="1"/>
        <v>20210120</v>
      </c>
      <c r="D9" s="1" t="str">
        <f t="shared" si="2"/>
        <v>偿还融资利息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-94.7</v>
      </c>
      <c r="O9" s="1">
        <v>24967.92</v>
      </c>
      <c r="P9" s="1">
        <v>0</v>
      </c>
      <c r="R9" s="1" t="str">
        <f t="shared" si="0"/>
        <v>人民币</v>
      </c>
    </row>
    <row r="10" spans="1:18">
      <c r="A10" s="1" t="str">
        <f t="shared" si="1"/>
        <v>20210120</v>
      </c>
      <c r="D10" s="1" t="str">
        <f t="shared" si="2"/>
        <v>偿还融资利息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-121.72</v>
      </c>
      <c r="O10" s="1">
        <v>24846.2</v>
      </c>
      <c r="P10" s="1">
        <v>0</v>
      </c>
      <c r="R10" s="1" t="str">
        <f t="shared" si="0"/>
        <v>人民币</v>
      </c>
    </row>
    <row r="11" spans="1:18">
      <c r="A11" s="1" t="str">
        <f t="shared" si="1"/>
        <v>20210120</v>
      </c>
      <c r="D11" s="1" t="str">
        <f t="shared" si="2"/>
        <v>偿还融资利息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-125.68</v>
      </c>
      <c r="O11" s="1">
        <v>24720.52</v>
      </c>
      <c r="P11" s="1">
        <v>0</v>
      </c>
      <c r="R11" s="1" t="str">
        <f t="shared" si="0"/>
        <v>人民币</v>
      </c>
    </row>
    <row r="12" spans="1:18">
      <c r="A12" s="1" t="str">
        <f t="shared" si="1"/>
        <v>20210120</v>
      </c>
      <c r="D12" s="1" t="str">
        <f t="shared" si="2"/>
        <v>偿还融资利息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-121.72</v>
      </c>
      <c r="O12" s="1">
        <v>24598.8</v>
      </c>
      <c r="P12" s="1">
        <v>0</v>
      </c>
      <c r="R12" s="1" t="str">
        <f t="shared" si="0"/>
        <v>人民币</v>
      </c>
    </row>
    <row r="13" spans="1:18">
      <c r="A13" s="1" t="str">
        <f t="shared" si="1"/>
        <v>20210120</v>
      </c>
      <c r="D13" s="1" t="str">
        <f>"偿还融券费用"</f>
        <v>偿还融券费用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-122.65</v>
      </c>
      <c r="O13" s="1">
        <v>24476.15</v>
      </c>
      <c r="P13" s="1">
        <v>0</v>
      </c>
      <c r="R13" s="1" t="str">
        <f t="shared" si="0"/>
        <v>人民币</v>
      </c>
    </row>
    <row r="14" spans="1:18">
      <c r="A14" s="1" t="str">
        <f t="shared" si="1"/>
        <v>20210120</v>
      </c>
      <c r="D14" s="1" t="str">
        <f>"偿还融券费用"</f>
        <v>偿还融券费用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-98.14</v>
      </c>
      <c r="O14" s="1">
        <v>24378.01</v>
      </c>
      <c r="P14" s="1">
        <v>0</v>
      </c>
      <c r="R14" s="1" t="str">
        <f t="shared" si="0"/>
        <v>人民币</v>
      </c>
    </row>
    <row r="15" spans="1:19">
      <c r="A15" s="1" t="str">
        <f>"20210122"</f>
        <v>20210122</v>
      </c>
      <c r="B15" s="1" t="str">
        <f t="shared" ref="B15:B19" si="3">"000543"</f>
        <v>000543</v>
      </c>
      <c r="C15" s="1" t="str">
        <f t="shared" ref="C15:C19" si="4">"皖能电力"</f>
        <v>皖能电力</v>
      </c>
      <c r="D15" s="1" t="str">
        <f>"融资买入"</f>
        <v>融资买入</v>
      </c>
      <c r="E15" s="1">
        <v>3.88</v>
      </c>
      <c r="F15" s="1">
        <v>5000</v>
      </c>
      <c r="G15" s="1">
        <v>19400</v>
      </c>
      <c r="H15" s="1">
        <v>9.7</v>
      </c>
      <c r="I15" s="1">
        <v>7.98</v>
      </c>
      <c r="J15" s="1">
        <v>0</v>
      </c>
      <c r="K15" s="1">
        <v>0</v>
      </c>
      <c r="L15" s="1">
        <v>0</v>
      </c>
      <c r="M15" s="1">
        <v>0</v>
      </c>
      <c r="N15" s="1">
        <v>-19409.7</v>
      </c>
      <c r="O15" s="1">
        <v>4968.31</v>
      </c>
      <c r="P15" s="1">
        <v>36000</v>
      </c>
      <c r="Q15" s="1" t="str">
        <f t="shared" ref="Q15:Q19" si="5">"0602175409"</f>
        <v>0602175409</v>
      </c>
      <c r="R15" s="1" t="str">
        <f t="shared" si="0"/>
        <v>人民币</v>
      </c>
      <c r="S15" s="1" t="str">
        <f>"T4000240"</f>
        <v>T4000240</v>
      </c>
    </row>
    <row r="16" spans="1:19">
      <c r="A16" s="1" t="str">
        <f>"20210122"</f>
        <v>20210122</v>
      </c>
      <c r="D16" s="1" t="str">
        <f>"融资借入"</f>
        <v>融资借入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19409.7</v>
      </c>
      <c r="O16" s="1">
        <v>24378.01</v>
      </c>
      <c r="P16" s="1">
        <v>0</v>
      </c>
      <c r="R16" s="1" t="str">
        <f t="shared" si="0"/>
        <v>人民币</v>
      </c>
      <c r="S16" s="1" t="str">
        <f>"T4000240"</f>
        <v>T4000240</v>
      </c>
    </row>
    <row r="17" spans="1:19">
      <c r="A17" s="1" t="str">
        <f>"20210201"</f>
        <v>20210201</v>
      </c>
      <c r="B17" s="1" t="str">
        <f t="shared" si="3"/>
        <v>000543</v>
      </c>
      <c r="C17" s="1" t="str">
        <f t="shared" si="4"/>
        <v>皖能电力</v>
      </c>
      <c r="D17" s="1" t="str">
        <f>"融资买入"</f>
        <v>融资买入</v>
      </c>
      <c r="E17" s="1">
        <v>3.73</v>
      </c>
      <c r="F17" s="1">
        <v>5000</v>
      </c>
      <c r="G17" s="1">
        <v>18650</v>
      </c>
      <c r="H17" s="1">
        <v>9.33</v>
      </c>
      <c r="I17" s="1">
        <v>7.68</v>
      </c>
      <c r="J17" s="1">
        <v>0</v>
      </c>
      <c r="K17" s="1">
        <v>0</v>
      </c>
      <c r="L17" s="1">
        <v>0</v>
      </c>
      <c r="M17" s="1">
        <v>0</v>
      </c>
      <c r="N17" s="1">
        <v>-18659.33</v>
      </c>
      <c r="O17" s="1">
        <v>5718.68</v>
      </c>
      <c r="P17" s="1">
        <v>41000</v>
      </c>
      <c r="Q17" s="1" t="str">
        <f t="shared" si="5"/>
        <v>0602175409</v>
      </c>
      <c r="R17" s="1" t="str">
        <f t="shared" si="0"/>
        <v>人民币</v>
      </c>
      <c r="S17" s="1" t="str">
        <f>"T4000296"</f>
        <v>T4000296</v>
      </c>
    </row>
    <row r="18" spans="1:19">
      <c r="A18" s="1" t="str">
        <f>"20210201"</f>
        <v>20210201</v>
      </c>
      <c r="D18" s="1" t="str">
        <f>"融资借入"</f>
        <v>融资借入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18659.33</v>
      </c>
      <c r="O18" s="1">
        <v>24378.01</v>
      </c>
      <c r="P18" s="1">
        <v>0</v>
      </c>
      <c r="R18" s="1" t="str">
        <f t="shared" si="0"/>
        <v>人民币</v>
      </c>
      <c r="S18" s="1" t="str">
        <f>"T4000296"</f>
        <v>T4000296</v>
      </c>
    </row>
    <row r="19" spans="1:19">
      <c r="A19" s="1" t="str">
        <f t="shared" ref="A19:A25" si="6">"20210312"</f>
        <v>20210312</v>
      </c>
      <c r="B19" s="1" t="str">
        <f t="shared" si="3"/>
        <v>000543</v>
      </c>
      <c r="C19" s="1" t="str">
        <f t="shared" si="4"/>
        <v>皖能电力</v>
      </c>
      <c r="D19" s="1" t="str">
        <f>"卖券还款"</f>
        <v>卖券还款</v>
      </c>
      <c r="E19" s="1">
        <v>4.23</v>
      </c>
      <c r="F19" s="1">
        <v>5000</v>
      </c>
      <c r="G19" s="1">
        <v>21150</v>
      </c>
      <c r="H19" s="1">
        <v>10.58</v>
      </c>
      <c r="I19" s="1">
        <v>8.71</v>
      </c>
      <c r="J19" s="1">
        <v>21.15</v>
      </c>
      <c r="K19" s="1">
        <v>0</v>
      </c>
      <c r="L19" s="1">
        <v>0</v>
      </c>
      <c r="M19" s="1">
        <v>0</v>
      </c>
      <c r="N19" s="1">
        <v>21118.27</v>
      </c>
      <c r="O19" s="1">
        <v>45496.28</v>
      </c>
      <c r="P19" s="1">
        <v>36000</v>
      </c>
      <c r="Q19" s="1" t="str">
        <f t="shared" si="5"/>
        <v>0602175409</v>
      </c>
      <c r="R19" s="1" t="str">
        <f t="shared" si="0"/>
        <v>人民币</v>
      </c>
      <c r="S19" s="1" t="str">
        <f t="shared" ref="S19:S25" si="7">"T4000817"</f>
        <v>T4000817</v>
      </c>
    </row>
    <row r="20" spans="1:19">
      <c r="A20" s="1" t="str">
        <f t="shared" si="6"/>
        <v>20210312</v>
      </c>
      <c r="D20" s="1" t="str">
        <f t="shared" ref="D20:D24" si="8">"偿还融资利息"</f>
        <v>偿还融资利息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-84.01</v>
      </c>
      <c r="O20" s="1">
        <v>45412.27</v>
      </c>
      <c r="P20" s="1">
        <v>0</v>
      </c>
      <c r="R20" s="1" t="str">
        <f t="shared" si="0"/>
        <v>人民币</v>
      </c>
      <c r="S20" s="1" t="str">
        <f t="shared" si="7"/>
        <v>T4000817</v>
      </c>
    </row>
    <row r="21" spans="1:19">
      <c r="A21" s="1" t="str">
        <f t="shared" si="6"/>
        <v>20210312</v>
      </c>
      <c r="D21" s="1" t="str">
        <f t="shared" ref="D21:D25" si="9">"偿还融资负债本金"</f>
        <v>偿还融资负债本金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-7251.79</v>
      </c>
      <c r="O21" s="1">
        <v>38160.48</v>
      </c>
      <c r="P21" s="1">
        <v>0</v>
      </c>
      <c r="R21" s="1" t="str">
        <f t="shared" si="0"/>
        <v>人民币</v>
      </c>
      <c r="S21" s="1" t="str">
        <f t="shared" si="7"/>
        <v>T4000817</v>
      </c>
    </row>
    <row r="22" spans="1:19">
      <c r="A22" s="1" t="str">
        <f t="shared" si="6"/>
        <v>20210312</v>
      </c>
      <c r="D22" s="1" t="str">
        <f t="shared" si="8"/>
        <v>偿还融资利息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-143.49</v>
      </c>
      <c r="O22" s="1">
        <v>38016.99</v>
      </c>
      <c r="P22" s="1">
        <v>0</v>
      </c>
      <c r="R22" s="1" t="str">
        <f t="shared" si="0"/>
        <v>人民币</v>
      </c>
      <c r="S22" s="1" t="str">
        <f t="shared" si="7"/>
        <v>T4000817</v>
      </c>
    </row>
    <row r="23" spans="1:19">
      <c r="A23" s="1" t="str">
        <f t="shared" si="6"/>
        <v>20210312</v>
      </c>
      <c r="D23" s="1" t="str">
        <f t="shared" si="9"/>
        <v>偿还融资负债本金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-12366.18</v>
      </c>
      <c r="O23" s="1">
        <v>25650.81</v>
      </c>
      <c r="P23" s="1">
        <v>0</v>
      </c>
      <c r="R23" s="1" t="str">
        <f t="shared" si="0"/>
        <v>人民币</v>
      </c>
      <c r="S23" s="1" t="str">
        <f t="shared" si="7"/>
        <v>T4000817</v>
      </c>
    </row>
    <row r="24" spans="1:19">
      <c r="A24" s="1" t="str">
        <f t="shared" si="6"/>
        <v>20210312</v>
      </c>
      <c r="D24" s="1" t="str">
        <f t="shared" si="8"/>
        <v>偿还融资利息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-184.41</v>
      </c>
      <c r="O24" s="1">
        <v>25466.4</v>
      </c>
      <c r="P24" s="1">
        <v>0</v>
      </c>
      <c r="R24" s="1" t="str">
        <f t="shared" si="0"/>
        <v>人民币</v>
      </c>
      <c r="S24" s="1" t="str">
        <f t="shared" si="7"/>
        <v>T4000817</v>
      </c>
    </row>
    <row r="25" spans="1:19">
      <c r="A25" s="1" t="str">
        <f t="shared" si="6"/>
        <v>20210312</v>
      </c>
      <c r="D25" s="1" t="str">
        <f t="shared" si="9"/>
        <v>偿还融资负债本金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-1035.42</v>
      </c>
      <c r="O25" s="1">
        <v>24430.98</v>
      </c>
      <c r="P25" s="1">
        <v>0</v>
      </c>
      <c r="R25" s="1" t="str">
        <f t="shared" si="0"/>
        <v>人民币</v>
      </c>
      <c r="S25" s="1" t="str">
        <f t="shared" si="7"/>
        <v>T4000817</v>
      </c>
    </row>
    <row r="26" spans="1:18">
      <c r="A26" s="1" t="str">
        <f t="shared" ref="A26:A28" si="10">"20210319"</f>
        <v>20210319</v>
      </c>
      <c r="D26" s="1" t="str">
        <f>"利息归本"</f>
        <v>利息归本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22.27</v>
      </c>
      <c r="O26" s="1">
        <v>24453.25</v>
      </c>
      <c r="P26" s="1">
        <v>0</v>
      </c>
      <c r="R26" s="1" t="str">
        <f t="shared" si="0"/>
        <v>人民币</v>
      </c>
    </row>
    <row r="27" spans="1:18">
      <c r="A27" s="1" t="str">
        <f t="shared" si="10"/>
        <v>20210319</v>
      </c>
      <c r="D27" s="1" t="str">
        <f>"偿还融资利息"</f>
        <v>偿还融资利息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-27.53</v>
      </c>
      <c r="O27" s="1">
        <v>24425.72</v>
      </c>
      <c r="P27" s="1">
        <v>0</v>
      </c>
      <c r="R27" s="1" t="str">
        <f t="shared" si="0"/>
        <v>人民币</v>
      </c>
    </row>
    <row r="28" spans="1:18">
      <c r="A28" s="1" t="str">
        <f t="shared" si="10"/>
        <v>20210319</v>
      </c>
      <c r="D28" s="1" t="str">
        <f>"偿还融资利息"</f>
        <v>偿还融资利息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-47.71</v>
      </c>
      <c r="O28" s="1">
        <v>24378.01</v>
      </c>
      <c r="P28" s="1">
        <v>0</v>
      </c>
      <c r="R28" s="1" t="str">
        <f t="shared" si="0"/>
        <v>人民币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9"/>
  <sheetViews>
    <sheetView zoomScaleSheetLayoutView="60" workbookViewId="0">
      <selection activeCell="A2" sqref="A2:P19"/>
    </sheetView>
  </sheetViews>
  <sheetFormatPr defaultColWidth="9" defaultRowHeight="13.5"/>
  <cols>
    <col min="1" max="16384" width="9" style="1"/>
  </cols>
  <sheetData>
    <row r="1" spans="1:19">
      <c r="A1" s="1" t="str">
        <f>"交割日期"</f>
        <v>交割日期</v>
      </c>
      <c r="B1" s="1" t="str">
        <f>"证券代码"</f>
        <v>证券代码</v>
      </c>
      <c r="C1" s="1" t="str">
        <f>"证券名称"</f>
        <v>证券名称</v>
      </c>
      <c r="D1" s="1" t="str">
        <f>"业务名称"</f>
        <v>业务名称</v>
      </c>
      <c r="E1" s="1" t="str">
        <f>"成交价格"</f>
        <v>成交价格</v>
      </c>
      <c r="F1" s="1" t="str">
        <f>"成交数量"</f>
        <v>成交数量</v>
      </c>
      <c r="G1" s="1" t="str">
        <f>"成交金额"</f>
        <v>成交金额</v>
      </c>
      <c r="H1" s="1" t="str">
        <f>"手续费"</f>
        <v>手续费</v>
      </c>
      <c r="I1" s="1" t="str">
        <f>"净佣金"</f>
        <v>净佣金</v>
      </c>
      <c r="J1" s="1" t="str">
        <f>"印花税"</f>
        <v>印花税</v>
      </c>
      <c r="K1" s="1" t="str">
        <f>"过户费"</f>
        <v>过户费</v>
      </c>
      <c r="L1" s="1" t="str">
        <f>"结算费"</f>
        <v>结算费</v>
      </c>
      <c r="M1" s="1" t="str">
        <f>"其他费"</f>
        <v>其他费</v>
      </c>
      <c r="N1" s="1" t="str">
        <f>"发生金额"</f>
        <v>发生金额</v>
      </c>
      <c r="O1" s="1" t="str">
        <f>"剩余金额"</f>
        <v>剩余金额</v>
      </c>
      <c r="P1" s="1" t="str">
        <f>"证券数量"</f>
        <v>证券数量</v>
      </c>
      <c r="Q1" s="1" t="str">
        <f>"股东代码"</f>
        <v>股东代码</v>
      </c>
      <c r="R1" s="1" t="str">
        <f>"币种"</f>
        <v>币种</v>
      </c>
      <c r="S1" s="1" t="str">
        <f>"成交编号"</f>
        <v>成交编号</v>
      </c>
    </row>
    <row r="2" spans="1:19">
      <c r="A2" s="1" t="str">
        <f>"20210414"</f>
        <v>20210414</v>
      </c>
      <c r="B2" s="1" t="str">
        <f>"510300"</f>
        <v>510300</v>
      </c>
      <c r="C2" s="1" t="str">
        <f>"300ETF"</f>
        <v>300ETF</v>
      </c>
      <c r="D2" s="1" t="str">
        <f>"买券还券"</f>
        <v>买券还券</v>
      </c>
      <c r="E2" s="1">
        <v>4.975</v>
      </c>
      <c r="F2" s="1">
        <v>3000</v>
      </c>
      <c r="G2" s="1">
        <v>14925</v>
      </c>
      <c r="H2" s="1">
        <v>5</v>
      </c>
      <c r="I2" s="1">
        <v>4.33</v>
      </c>
      <c r="J2" s="1">
        <v>0</v>
      </c>
      <c r="K2" s="1">
        <v>0</v>
      </c>
      <c r="L2" s="1">
        <v>0</v>
      </c>
      <c r="M2" s="1">
        <v>0</v>
      </c>
      <c r="N2" s="1">
        <v>-14930</v>
      </c>
      <c r="O2" s="1">
        <v>9448.01</v>
      </c>
      <c r="P2" s="1">
        <v>3000</v>
      </c>
      <c r="Q2" s="1" t="str">
        <f>"E021635187"</f>
        <v>E021635187</v>
      </c>
      <c r="R2" s="1" t="str">
        <f t="shared" ref="R2:R19" si="0">"人民币"</f>
        <v>人民币</v>
      </c>
      <c r="S2" s="1" t="str">
        <f>"0136000128"</f>
        <v>0136000128</v>
      </c>
    </row>
    <row r="3" spans="1:18">
      <c r="A3" s="1" t="str">
        <f>"20210414"</f>
        <v>20210414</v>
      </c>
      <c r="B3" s="1" t="str">
        <f>"510300"</f>
        <v>510300</v>
      </c>
      <c r="C3" s="1" t="str">
        <f>"300ETF"</f>
        <v>300ETF</v>
      </c>
      <c r="D3" s="1" t="str">
        <f>"偿还融券负债"</f>
        <v>偿还融券负债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 t="str">
        <f>"E021635187"</f>
        <v>E021635187</v>
      </c>
      <c r="R3" s="1" t="str">
        <f t="shared" si="0"/>
        <v>人民币</v>
      </c>
    </row>
    <row r="4" spans="1:18">
      <c r="A4" s="1" t="str">
        <f>"20210414"</f>
        <v>20210414</v>
      </c>
      <c r="D4" s="1" t="str">
        <f>"偿还融券费用"</f>
        <v>偿还融券费用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-307.65</v>
      </c>
      <c r="O4" s="1">
        <v>9140.36</v>
      </c>
      <c r="P4" s="1">
        <v>0</v>
      </c>
      <c r="R4" s="1" t="str">
        <f t="shared" si="0"/>
        <v>人民币</v>
      </c>
    </row>
    <row r="5" spans="1:18">
      <c r="A5" s="1" t="str">
        <f t="shared" ref="A5:A7" si="1">"20210527"</f>
        <v>20210527</v>
      </c>
      <c r="B5" s="1" t="str">
        <f>"000543"</f>
        <v>000543</v>
      </c>
      <c r="C5" s="1" t="str">
        <f>"皖能电力"</f>
        <v>皖能电力</v>
      </c>
      <c r="D5" s="1" t="str">
        <f>"红利入账"</f>
        <v>红利入账</v>
      </c>
      <c r="E5" s="1">
        <v>0</v>
      </c>
      <c r="F5" s="1">
        <v>0</v>
      </c>
      <c r="G5" s="1">
        <v>3116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3116</v>
      </c>
      <c r="O5" s="1">
        <v>12256.36</v>
      </c>
      <c r="P5" s="1">
        <v>0</v>
      </c>
      <c r="Q5" s="1" t="str">
        <f>"0602175409"</f>
        <v>0602175409</v>
      </c>
      <c r="R5" s="1" t="str">
        <f t="shared" si="0"/>
        <v>人民币</v>
      </c>
    </row>
    <row r="6" spans="1:19">
      <c r="A6" s="1" t="str">
        <f t="shared" si="1"/>
        <v>20210527</v>
      </c>
      <c r="B6" s="1" t="str">
        <f>"000543"</f>
        <v>000543</v>
      </c>
      <c r="C6" s="1" t="str">
        <f>"皖能电力"</f>
        <v>皖能电力</v>
      </c>
      <c r="D6" s="1" t="str">
        <f>"融资买入"</f>
        <v>融资买入</v>
      </c>
      <c r="E6" s="1">
        <v>3.98</v>
      </c>
      <c r="F6" s="1">
        <v>5000</v>
      </c>
      <c r="G6" s="1">
        <v>19900</v>
      </c>
      <c r="H6" s="1">
        <v>5.97</v>
      </c>
      <c r="I6" s="1">
        <v>4.2</v>
      </c>
      <c r="J6" s="1">
        <v>0</v>
      </c>
      <c r="K6" s="1">
        <v>0</v>
      </c>
      <c r="L6" s="1">
        <v>0</v>
      </c>
      <c r="M6" s="1">
        <v>0</v>
      </c>
      <c r="N6" s="1">
        <v>-19905.97</v>
      </c>
      <c r="O6" s="1">
        <v>-7649.61</v>
      </c>
      <c r="P6" s="1">
        <v>41000</v>
      </c>
      <c r="Q6" s="1" t="str">
        <f>"0602175409"</f>
        <v>0602175409</v>
      </c>
      <c r="R6" s="1" t="str">
        <f t="shared" si="0"/>
        <v>人民币</v>
      </c>
      <c r="S6" s="1" t="str">
        <f>"T4000994"</f>
        <v>T4000994</v>
      </c>
    </row>
    <row r="7" spans="1:19">
      <c r="A7" s="1" t="str">
        <f t="shared" si="1"/>
        <v>20210527</v>
      </c>
      <c r="D7" s="1" t="str">
        <f>"融资借入"</f>
        <v>融资借入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19905.97</v>
      </c>
      <c r="O7" s="1">
        <v>12256.36</v>
      </c>
      <c r="P7" s="1">
        <v>0</v>
      </c>
      <c r="R7" s="1" t="str">
        <f t="shared" si="0"/>
        <v>人民币</v>
      </c>
      <c r="S7" s="1" t="str">
        <f>"T4000994"</f>
        <v>T4000994</v>
      </c>
    </row>
    <row r="8" spans="1:18">
      <c r="A8" s="1" t="str">
        <f t="shared" ref="A8:A10" si="2">"20210528"</f>
        <v>20210528</v>
      </c>
      <c r="D8" s="1" t="str">
        <f>"偿还融券费用"</f>
        <v>偿还融券费用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-488.49</v>
      </c>
      <c r="O8" s="1">
        <v>11767.87</v>
      </c>
      <c r="P8" s="1">
        <v>0</v>
      </c>
      <c r="R8" s="1" t="str">
        <f t="shared" si="0"/>
        <v>人民币</v>
      </c>
    </row>
    <row r="9" spans="1:18">
      <c r="A9" s="1" t="str">
        <f t="shared" si="2"/>
        <v>20210528</v>
      </c>
      <c r="D9" s="1" t="str">
        <f>"偿还融资利息"</f>
        <v>偿还融资利息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-543.18</v>
      </c>
      <c r="O9" s="1">
        <v>11224.69</v>
      </c>
      <c r="P9" s="1">
        <v>0</v>
      </c>
      <c r="R9" s="1" t="str">
        <f t="shared" si="0"/>
        <v>人民币</v>
      </c>
    </row>
    <row r="10" spans="1:18">
      <c r="A10" s="1" t="str">
        <f t="shared" si="2"/>
        <v>20210528</v>
      </c>
      <c r="D10" s="1" t="str">
        <f>"偿还融资负债本金"</f>
        <v>偿还融资负债本金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-2084.33</v>
      </c>
      <c r="O10" s="1">
        <v>9140.36</v>
      </c>
      <c r="P10" s="1">
        <v>0</v>
      </c>
      <c r="R10" s="1" t="str">
        <f t="shared" si="0"/>
        <v>人民币</v>
      </c>
    </row>
    <row r="11" spans="1:18">
      <c r="A11" s="1" t="str">
        <f t="shared" ref="A11:A13" si="3">"20210609"</f>
        <v>20210609</v>
      </c>
      <c r="B11" s="1" t="str">
        <f>"002183"</f>
        <v>002183</v>
      </c>
      <c r="C11" s="1" t="str">
        <f>"怡 亚 通"</f>
        <v>怡 亚 通</v>
      </c>
      <c r="D11" s="1" t="str">
        <f>"红利入账"</f>
        <v>红利入账</v>
      </c>
      <c r="E11" s="1">
        <v>0</v>
      </c>
      <c r="F11" s="1">
        <v>0</v>
      </c>
      <c r="G11" s="1">
        <v>250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250</v>
      </c>
      <c r="O11" s="1">
        <v>9390.36</v>
      </c>
      <c r="P11" s="1">
        <v>0</v>
      </c>
      <c r="Q11" s="1" t="str">
        <f>"0602175409"</f>
        <v>0602175409</v>
      </c>
      <c r="R11" s="1" t="str">
        <f t="shared" si="0"/>
        <v>人民币</v>
      </c>
    </row>
    <row r="12" spans="1:19">
      <c r="A12" s="1" t="str">
        <f t="shared" si="3"/>
        <v>20210609</v>
      </c>
      <c r="B12" s="1" t="str">
        <f>"000543"</f>
        <v>000543</v>
      </c>
      <c r="C12" s="1" t="str">
        <f>"皖能电力"</f>
        <v>皖能电力</v>
      </c>
      <c r="D12" s="1" t="str">
        <f>"融资买入"</f>
        <v>融资买入</v>
      </c>
      <c r="E12" s="1">
        <v>3.81</v>
      </c>
      <c r="F12" s="1">
        <v>5000</v>
      </c>
      <c r="G12" s="1">
        <v>19050</v>
      </c>
      <c r="H12" s="1">
        <v>5.72</v>
      </c>
      <c r="I12" s="1">
        <v>4.03</v>
      </c>
      <c r="J12" s="1">
        <v>0</v>
      </c>
      <c r="K12" s="1">
        <v>0</v>
      </c>
      <c r="L12" s="1">
        <v>0</v>
      </c>
      <c r="M12" s="1">
        <v>0</v>
      </c>
      <c r="N12" s="1">
        <v>-19055.72</v>
      </c>
      <c r="O12" s="1">
        <v>-9665.36</v>
      </c>
      <c r="P12" s="1">
        <v>46000</v>
      </c>
      <c r="Q12" s="1" t="str">
        <f>"0602175409"</f>
        <v>0602175409</v>
      </c>
      <c r="R12" s="1" t="str">
        <f t="shared" si="0"/>
        <v>人民币</v>
      </c>
      <c r="S12" s="1" t="str">
        <f>"T4000909"</f>
        <v>T4000909</v>
      </c>
    </row>
    <row r="13" spans="1:19">
      <c r="A13" s="1" t="str">
        <f t="shared" si="3"/>
        <v>20210609</v>
      </c>
      <c r="D13" s="1" t="str">
        <f>"融资借入"</f>
        <v>融资借入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19055.72</v>
      </c>
      <c r="O13" s="1">
        <v>9390.36</v>
      </c>
      <c r="P13" s="1">
        <v>0</v>
      </c>
      <c r="R13" s="1" t="str">
        <f t="shared" si="0"/>
        <v>人民币</v>
      </c>
      <c r="S13" s="1" t="str">
        <f>"T4000909"</f>
        <v>T4000909</v>
      </c>
    </row>
    <row r="14" spans="1:18">
      <c r="A14" s="1" t="str">
        <f>"20210616"</f>
        <v>20210616</v>
      </c>
      <c r="B14" s="1" t="str">
        <f>"600028"</f>
        <v>600028</v>
      </c>
      <c r="C14" s="1" t="str">
        <f>"中国石化"</f>
        <v>中国石化</v>
      </c>
      <c r="D14" s="1" t="str">
        <f>"红利入账"</f>
        <v>红利入账</v>
      </c>
      <c r="E14" s="1">
        <v>0</v>
      </c>
      <c r="F14" s="1">
        <v>10700</v>
      </c>
      <c r="G14" s="1">
        <v>1391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1391</v>
      </c>
      <c r="O14" s="1">
        <v>10781.36</v>
      </c>
      <c r="P14" s="1">
        <v>0</v>
      </c>
      <c r="Q14" s="1" t="str">
        <f>"E021635187"</f>
        <v>E021635187</v>
      </c>
      <c r="R14" s="1" t="str">
        <f t="shared" si="0"/>
        <v>人民币</v>
      </c>
    </row>
    <row r="15" spans="1:18">
      <c r="A15" s="1" t="str">
        <f>"20210617"</f>
        <v>20210617</v>
      </c>
      <c r="D15" s="1" t="str">
        <f t="shared" ref="D15:D19" si="4">"偿还融资利息"</f>
        <v>偿还融资利息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-657.04</v>
      </c>
      <c r="O15" s="1">
        <v>10124.32</v>
      </c>
      <c r="P15" s="1">
        <v>0</v>
      </c>
      <c r="R15" s="1" t="str">
        <f t="shared" si="0"/>
        <v>人民币</v>
      </c>
    </row>
    <row r="16" spans="1:18">
      <c r="A16" s="1" t="str">
        <f>"20210617"</f>
        <v>20210617</v>
      </c>
      <c r="D16" s="1" t="str">
        <f>"偿还融资负债本金"</f>
        <v>偿还融资负债本金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-982.96</v>
      </c>
      <c r="O16" s="1">
        <v>9141.36</v>
      </c>
      <c r="P16" s="1">
        <v>0</v>
      </c>
      <c r="R16" s="1" t="str">
        <f t="shared" si="0"/>
        <v>人民币</v>
      </c>
    </row>
    <row r="17" spans="1:18">
      <c r="A17" s="1" t="str">
        <f t="shared" ref="A17:A19" si="5">"20210618"</f>
        <v>20210618</v>
      </c>
      <c r="D17" s="1" t="str">
        <f>"利息归本"</f>
        <v>利息归本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11.77</v>
      </c>
      <c r="O17" s="1">
        <v>9153.13</v>
      </c>
      <c r="P17" s="1">
        <v>0</v>
      </c>
      <c r="R17" s="1" t="str">
        <f t="shared" si="0"/>
        <v>人民币</v>
      </c>
    </row>
    <row r="18" spans="1:18">
      <c r="A18" s="1" t="str">
        <f t="shared" si="5"/>
        <v>20210618</v>
      </c>
      <c r="D18" s="1" t="str">
        <f t="shared" si="4"/>
        <v>偿还融资利息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-8.54</v>
      </c>
      <c r="O18" s="1">
        <v>9144.59</v>
      </c>
      <c r="P18" s="1">
        <v>0</v>
      </c>
      <c r="R18" s="1" t="str">
        <f t="shared" si="0"/>
        <v>人民币</v>
      </c>
    </row>
    <row r="19" spans="1:18">
      <c r="A19" s="1" t="str">
        <f t="shared" si="5"/>
        <v>20210618</v>
      </c>
      <c r="D19" s="1" t="str">
        <f t="shared" si="4"/>
        <v>偿还融资利息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-4.23</v>
      </c>
      <c r="O19" s="1">
        <v>9140.36</v>
      </c>
      <c r="P19" s="1">
        <v>0</v>
      </c>
      <c r="R19" s="1" t="str">
        <f t="shared" si="0"/>
        <v>人民币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3"/>
  <sheetViews>
    <sheetView zoomScaleSheetLayoutView="60" workbookViewId="0">
      <selection activeCell="A2" sqref="A2:P73"/>
    </sheetView>
  </sheetViews>
  <sheetFormatPr defaultColWidth="9" defaultRowHeight="13.5"/>
  <cols>
    <col min="1" max="16384" width="9" style="1"/>
  </cols>
  <sheetData>
    <row r="1" spans="1:19">
      <c r="A1" s="1" t="str">
        <f>"交割日期"</f>
        <v>交割日期</v>
      </c>
      <c r="B1" s="1" t="str">
        <f>"证券代码"</f>
        <v>证券代码</v>
      </c>
      <c r="C1" s="1" t="str">
        <f>"证券名称"</f>
        <v>证券名称</v>
      </c>
      <c r="D1" s="1" t="str">
        <f>"业务名称"</f>
        <v>业务名称</v>
      </c>
      <c r="E1" s="1" t="str">
        <f>"成交价格"</f>
        <v>成交价格</v>
      </c>
      <c r="F1" s="1" t="str">
        <f>"成交数量"</f>
        <v>成交数量</v>
      </c>
      <c r="G1" s="1" t="str">
        <f>"成交金额"</f>
        <v>成交金额</v>
      </c>
      <c r="H1" s="1" t="str">
        <f>"手续费"</f>
        <v>手续费</v>
      </c>
      <c r="I1" s="1" t="str">
        <f>"净佣金"</f>
        <v>净佣金</v>
      </c>
      <c r="J1" s="1" t="str">
        <f>"印花税"</f>
        <v>印花税</v>
      </c>
      <c r="K1" s="1" t="str">
        <f>"过户费"</f>
        <v>过户费</v>
      </c>
      <c r="L1" s="1" t="str">
        <f>"结算费"</f>
        <v>结算费</v>
      </c>
      <c r="M1" s="1" t="str">
        <f>"其他费"</f>
        <v>其他费</v>
      </c>
      <c r="N1" s="1" t="str">
        <f>"发生金额"</f>
        <v>发生金额</v>
      </c>
      <c r="O1" s="1" t="str">
        <f>"剩余金额"</f>
        <v>剩余金额</v>
      </c>
      <c r="P1" s="1" t="str">
        <f>"证券数量"</f>
        <v>证券数量</v>
      </c>
      <c r="Q1" s="1" t="str">
        <f>"股东代码"</f>
        <v>股东代码</v>
      </c>
      <c r="R1" s="1" t="str">
        <f>"币种"</f>
        <v>币种</v>
      </c>
      <c r="S1" s="1" t="str">
        <f>"成交编号"</f>
        <v>成交编号</v>
      </c>
    </row>
    <row r="2" spans="1:19">
      <c r="A2" s="1" t="str">
        <f>"20210730"</f>
        <v>20210730</v>
      </c>
      <c r="B2" s="1" t="str">
        <f>"510300"</f>
        <v>510300</v>
      </c>
      <c r="C2" s="1" t="str">
        <f>"300ETF"</f>
        <v>300ETF</v>
      </c>
      <c r="D2" s="1" t="str">
        <f>"买券还券"</f>
        <v>买券还券</v>
      </c>
      <c r="E2" s="1">
        <v>4.847</v>
      </c>
      <c r="F2" s="1">
        <v>1800</v>
      </c>
      <c r="G2" s="1">
        <v>8724.6</v>
      </c>
      <c r="H2" s="1">
        <v>5</v>
      </c>
      <c r="I2" s="1">
        <v>4.65</v>
      </c>
      <c r="J2" s="1">
        <v>0</v>
      </c>
      <c r="K2" s="1">
        <v>0</v>
      </c>
      <c r="L2" s="1">
        <v>0</v>
      </c>
      <c r="M2" s="1">
        <v>0</v>
      </c>
      <c r="N2" s="1">
        <v>-8729.6</v>
      </c>
      <c r="O2" s="1">
        <v>410.76</v>
      </c>
      <c r="P2" s="1">
        <v>1800</v>
      </c>
      <c r="Q2" s="1" t="str">
        <f>"E021635187"</f>
        <v>E021635187</v>
      </c>
      <c r="R2" s="1" t="str">
        <f t="shared" ref="R2:R65" si="0">"人民币"</f>
        <v>人民币</v>
      </c>
      <c r="S2" s="1" t="str">
        <f>"0136000938"</f>
        <v>0136000938</v>
      </c>
    </row>
    <row r="3" spans="1:18">
      <c r="A3" s="1" t="str">
        <f>"20210730"</f>
        <v>20210730</v>
      </c>
      <c r="B3" s="1" t="str">
        <f>"510300"</f>
        <v>510300</v>
      </c>
      <c r="C3" s="1" t="str">
        <f>"300ETF"</f>
        <v>300ETF</v>
      </c>
      <c r="D3" s="1" t="str">
        <f>"偿还融券负债"</f>
        <v>偿还融券负债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 t="str">
        <f>"E021635187"</f>
        <v>E021635187</v>
      </c>
      <c r="R3" s="1" t="str">
        <f t="shared" si="0"/>
        <v>人民币</v>
      </c>
    </row>
    <row r="4" spans="1:18">
      <c r="A4" s="1" t="str">
        <f>"20210826"</f>
        <v>20210826</v>
      </c>
      <c r="B4" s="1" t="str">
        <f>"000601"</f>
        <v>000601</v>
      </c>
      <c r="C4" s="1" t="str">
        <f>"韶能股份"</f>
        <v>韶能股份</v>
      </c>
      <c r="D4" s="1" t="str">
        <f>"红利入账"</f>
        <v>红利入账</v>
      </c>
      <c r="E4" s="1">
        <v>0</v>
      </c>
      <c r="F4" s="1">
        <v>0</v>
      </c>
      <c r="G4" s="1">
        <v>1500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1500</v>
      </c>
      <c r="O4" s="1">
        <v>1910.76</v>
      </c>
      <c r="P4" s="1">
        <v>0</v>
      </c>
      <c r="Q4" s="1" t="str">
        <f>"0602175409"</f>
        <v>0602175409</v>
      </c>
      <c r="R4" s="1" t="str">
        <f t="shared" si="0"/>
        <v>人民币</v>
      </c>
    </row>
    <row r="5" spans="1:18">
      <c r="A5" s="1" t="str">
        <f>"20210901"</f>
        <v>20210901</v>
      </c>
      <c r="D5" s="1" t="str">
        <f t="shared" ref="D5:D10" si="1">"偿还融资利息"</f>
        <v>偿还融资利息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-572.51</v>
      </c>
      <c r="O5" s="1">
        <v>1338.25</v>
      </c>
      <c r="P5" s="1">
        <v>0</v>
      </c>
      <c r="R5" s="1" t="str">
        <f t="shared" si="0"/>
        <v>人民币</v>
      </c>
    </row>
    <row r="6" spans="1:18">
      <c r="A6" s="1" t="str">
        <f>"20210901"</f>
        <v>20210901</v>
      </c>
      <c r="D6" s="1" t="str">
        <f t="shared" ref="D6:D11" si="2">"偿还融资负债本金"</f>
        <v>偿还融资负债本金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-927.49</v>
      </c>
      <c r="O6" s="1">
        <v>410.76</v>
      </c>
      <c r="P6" s="1">
        <v>0</v>
      </c>
      <c r="R6" s="1" t="str">
        <f t="shared" si="0"/>
        <v>人民币</v>
      </c>
    </row>
    <row r="7" spans="1:19">
      <c r="A7" s="1" t="str">
        <f t="shared" ref="A7:A11" si="3">"20210903"</f>
        <v>20210903</v>
      </c>
      <c r="B7" s="1" t="str">
        <f>"000543"</f>
        <v>000543</v>
      </c>
      <c r="C7" s="1" t="str">
        <f>"皖能电力"</f>
        <v>皖能电力</v>
      </c>
      <c r="D7" s="1" t="str">
        <f>"卖券还款"</f>
        <v>卖券还款</v>
      </c>
      <c r="E7" s="1">
        <v>4.01</v>
      </c>
      <c r="F7" s="1">
        <v>5000</v>
      </c>
      <c r="G7" s="1">
        <v>20050</v>
      </c>
      <c r="H7" s="1">
        <v>6.02</v>
      </c>
      <c r="I7" s="1">
        <v>4.24</v>
      </c>
      <c r="J7" s="1">
        <v>20.05</v>
      </c>
      <c r="K7" s="1">
        <v>0</v>
      </c>
      <c r="L7" s="1">
        <v>0</v>
      </c>
      <c r="M7" s="1">
        <v>0</v>
      </c>
      <c r="N7" s="1">
        <v>20023.93</v>
      </c>
      <c r="O7" s="1">
        <v>20434.69</v>
      </c>
      <c r="P7" s="1">
        <v>41000</v>
      </c>
      <c r="Q7" s="1" t="str">
        <f>"0602175409"</f>
        <v>0602175409</v>
      </c>
      <c r="R7" s="1" t="str">
        <f t="shared" si="0"/>
        <v>人民币</v>
      </c>
      <c r="S7" s="1" t="str">
        <f t="shared" ref="S7:S11" si="4">"T4000112"</f>
        <v>T4000112</v>
      </c>
    </row>
    <row r="8" spans="1:19">
      <c r="A8" s="1" t="str">
        <f t="shared" si="3"/>
        <v>20210903</v>
      </c>
      <c r="D8" s="1" t="str">
        <f t="shared" si="1"/>
        <v>偿还融资利息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-6.46</v>
      </c>
      <c r="O8" s="1">
        <v>20428.23</v>
      </c>
      <c r="P8" s="1">
        <v>0</v>
      </c>
      <c r="R8" s="1" t="str">
        <f t="shared" si="0"/>
        <v>人民币</v>
      </c>
      <c r="S8" s="1" t="str">
        <f t="shared" si="4"/>
        <v>T4000112</v>
      </c>
    </row>
    <row r="9" spans="1:19">
      <c r="A9" s="1" t="str">
        <f t="shared" si="3"/>
        <v>20210903</v>
      </c>
      <c r="D9" s="1" t="str">
        <f t="shared" si="2"/>
        <v>偿还融资负债本金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-13925.03</v>
      </c>
      <c r="O9" s="1">
        <v>6503.2</v>
      </c>
      <c r="P9" s="1">
        <v>0</v>
      </c>
      <c r="R9" s="1" t="str">
        <f t="shared" si="0"/>
        <v>人民币</v>
      </c>
      <c r="S9" s="1" t="str">
        <f t="shared" si="4"/>
        <v>T4000112</v>
      </c>
    </row>
    <row r="10" spans="1:19">
      <c r="A10" s="1" t="str">
        <f t="shared" si="3"/>
        <v>20210903</v>
      </c>
      <c r="D10" s="1" t="str">
        <f t="shared" si="1"/>
        <v>偿还融资利息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-457.24</v>
      </c>
      <c r="O10" s="1">
        <v>6045.96</v>
      </c>
      <c r="P10" s="1">
        <v>0</v>
      </c>
      <c r="R10" s="1" t="str">
        <f t="shared" si="0"/>
        <v>人民币</v>
      </c>
      <c r="S10" s="1" t="str">
        <f t="shared" si="4"/>
        <v>T4000112</v>
      </c>
    </row>
    <row r="11" spans="1:19">
      <c r="A11" s="1" t="str">
        <f t="shared" si="3"/>
        <v>20210903</v>
      </c>
      <c r="D11" s="1" t="str">
        <f t="shared" si="2"/>
        <v>偿还融资负债本金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-5580.97</v>
      </c>
      <c r="O11" s="1">
        <v>464.99</v>
      </c>
      <c r="P11" s="1">
        <v>0</v>
      </c>
      <c r="R11" s="1" t="str">
        <f t="shared" si="0"/>
        <v>人民币</v>
      </c>
      <c r="S11" s="1" t="str">
        <f t="shared" si="4"/>
        <v>T4000112</v>
      </c>
    </row>
    <row r="12" spans="1:18">
      <c r="A12" s="1" t="str">
        <f>"20210906"</f>
        <v>20210906</v>
      </c>
      <c r="B12" s="1" t="str">
        <f>"000543"</f>
        <v>000543</v>
      </c>
      <c r="C12" s="1" t="str">
        <f>"皖能电力"</f>
        <v>皖能电力</v>
      </c>
      <c r="D12" s="1" t="str">
        <f>"股息红利差异扣税"</f>
        <v>股息红利差异扣税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-38</v>
      </c>
      <c r="O12" s="1">
        <v>426.99</v>
      </c>
      <c r="P12" s="1">
        <v>0</v>
      </c>
      <c r="Q12" s="1" t="str">
        <f>"0602175409"</f>
        <v>0602175409</v>
      </c>
      <c r="R12" s="1" t="str">
        <f t="shared" si="0"/>
        <v>人民币</v>
      </c>
    </row>
    <row r="13" spans="1:19">
      <c r="A13" s="1" t="str">
        <f t="shared" ref="A13:A17" si="5">"20210907"</f>
        <v>20210907</v>
      </c>
      <c r="B13" s="1" t="str">
        <f>"000543"</f>
        <v>000543</v>
      </c>
      <c r="C13" s="1" t="str">
        <f>"皖能电力"</f>
        <v>皖能电力</v>
      </c>
      <c r="D13" s="1" t="str">
        <f>"卖券还款"</f>
        <v>卖券还款</v>
      </c>
      <c r="E13" s="1">
        <v>4.15</v>
      </c>
      <c r="F13" s="1">
        <v>5000</v>
      </c>
      <c r="G13" s="1">
        <v>20750</v>
      </c>
      <c r="H13" s="1">
        <v>6.23</v>
      </c>
      <c r="I13" s="1">
        <v>4.38</v>
      </c>
      <c r="J13" s="1">
        <v>20.78</v>
      </c>
      <c r="K13" s="1">
        <v>0</v>
      </c>
      <c r="L13" s="1">
        <v>0</v>
      </c>
      <c r="M13" s="1">
        <v>0</v>
      </c>
      <c r="N13" s="1">
        <v>20722.99</v>
      </c>
      <c r="O13" s="1">
        <v>21149.98</v>
      </c>
      <c r="P13" s="1">
        <v>36000</v>
      </c>
      <c r="Q13" s="1" t="str">
        <f>"0602175409"</f>
        <v>0602175409</v>
      </c>
      <c r="R13" s="1" t="str">
        <f t="shared" si="0"/>
        <v>人民币</v>
      </c>
      <c r="S13" s="1" t="str">
        <f t="shared" ref="S13:S17" si="6">"T4001050"</f>
        <v>T4001050</v>
      </c>
    </row>
    <row r="14" spans="1:19">
      <c r="A14" s="1" t="str">
        <f t="shared" si="5"/>
        <v>20210907</v>
      </c>
      <c r="D14" s="1" t="str">
        <f>"偿还融资利息"</f>
        <v>偿还融资利息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-13.29</v>
      </c>
      <c r="O14" s="1">
        <v>21136.69</v>
      </c>
      <c r="P14" s="1">
        <v>0</v>
      </c>
      <c r="R14" s="1" t="str">
        <f t="shared" si="0"/>
        <v>人民币</v>
      </c>
      <c r="S14" s="1" t="str">
        <f t="shared" si="6"/>
        <v>T4001050</v>
      </c>
    </row>
    <row r="15" spans="1:19">
      <c r="A15" s="1" t="str">
        <f t="shared" si="5"/>
        <v>20210907</v>
      </c>
      <c r="D15" s="1" t="str">
        <f>"偿还融资负债本金"</f>
        <v>偿还融资负债本金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-14325</v>
      </c>
      <c r="O15" s="1">
        <v>6811.69</v>
      </c>
      <c r="P15" s="1">
        <v>0</v>
      </c>
      <c r="R15" s="1" t="str">
        <f t="shared" si="0"/>
        <v>人民币</v>
      </c>
      <c r="S15" s="1" t="str">
        <f t="shared" si="6"/>
        <v>T4001050</v>
      </c>
    </row>
    <row r="16" spans="1:19">
      <c r="A16" s="1" t="str">
        <f t="shared" si="5"/>
        <v>20210907</v>
      </c>
      <c r="D16" s="1" t="str">
        <f>"偿还融资利息"</f>
        <v>偿还融资利息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-834.62</v>
      </c>
      <c r="O16" s="1">
        <v>5977.07</v>
      </c>
      <c r="P16" s="1">
        <v>0</v>
      </c>
      <c r="R16" s="1" t="str">
        <f t="shared" si="0"/>
        <v>人民币</v>
      </c>
      <c r="S16" s="1" t="str">
        <f t="shared" si="6"/>
        <v>T4001050</v>
      </c>
    </row>
    <row r="17" spans="1:19">
      <c r="A17" s="1" t="str">
        <f t="shared" si="5"/>
        <v>20210907</v>
      </c>
      <c r="D17" s="1" t="str">
        <f>"偿还融资负债本金"</f>
        <v>偿还融资负债本金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-5494.09</v>
      </c>
      <c r="O17" s="1">
        <v>482.98</v>
      </c>
      <c r="P17" s="1">
        <v>0</v>
      </c>
      <c r="R17" s="1" t="str">
        <f t="shared" si="0"/>
        <v>人民币</v>
      </c>
      <c r="S17" s="1" t="str">
        <f t="shared" si="6"/>
        <v>T4001050</v>
      </c>
    </row>
    <row r="18" spans="1:18">
      <c r="A18" s="1" t="str">
        <f t="shared" ref="A18:A23" si="7">"20210908"</f>
        <v>20210908</v>
      </c>
      <c r="B18" s="1" t="str">
        <f>"000543"</f>
        <v>000543</v>
      </c>
      <c r="C18" s="1" t="str">
        <f>"皖能电力"</f>
        <v>皖能电力</v>
      </c>
      <c r="D18" s="1" t="str">
        <f>"股息红利差异扣税"</f>
        <v>股息红利差异扣税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-38</v>
      </c>
      <c r="O18" s="1">
        <v>444.98</v>
      </c>
      <c r="P18" s="1">
        <v>0</v>
      </c>
      <c r="Q18" s="1" t="str">
        <f>"0602175409"</f>
        <v>0602175409</v>
      </c>
      <c r="R18" s="1" t="str">
        <f t="shared" si="0"/>
        <v>人民币</v>
      </c>
    </row>
    <row r="19" spans="1:19">
      <c r="A19" s="1" t="str">
        <f t="shared" si="7"/>
        <v>20210908</v>
      </c>
      <c r="B19" s="1" t="str">
        <f>"000543"</f>
        <v>000543</v>
      </c>
      <c r="C19" s="1" t="str">
        <f>"皖能电力"</f>
        <v>皖能电力</v>
      </c>
      <c r="D19" s="1" t="str">
        <f>"卖券还款"</f>
        <v>卖券还款</v>
      </c>
      <c r="E19" s="1">
        <v>4.36</v>
      </c>
      <c r="F19" s="1">
        <v>3000</v>
      </c>
      <c r="G19" s="1">
        <v>13080</v>
      </c>
      <c r="H19" s="1">
        <v>5</v>
      </c>
      <c r="I19" s="1">
        <v>3.84</v>
      </c>
      <c r="J19" s="1">
        <v>13.08</v>
      </c>
      <c r="K19" s="1">
        <v>0</v>
      </c>
      <c r="L19" s="1">
        <v>0</v>
      </c>
      <c r="M19" s="1">
        <v>0</v>
      </c>
      <c r="N19" s="1">
        <v>13061.92</v>
      </c>
      <c r="O19" s="1">
        <v>13506.9</v>
      </c>
      <c r="P19" s="1">
        <v>33000</v>
      </c>
      <c r="Q19" s="1" t="str">
        <f>"0602175409"</f>
        <v>0602175409</v>
      </c>
      <c r="R19" s="1" t="str">
        <f t="shared" si="0"/>
        <v>人民币</v>
      </c>
      <c r="S19" s="1" t="str">
        <f t="shared" ref="S19:S23" si="8">"T4000058"</f>
        <v>T4000058</v>
      </c>
    </row>
    <row r="20" spans="1:19">
      <c r="A20" s="1" t="str">
        <f t="shared" si="7"/>
        <v>20210908</v>
      </c>
      <c r="D20" s="1" t="str">
        <f>"偿还融资利息"</f>
        <v>偿还融资利息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-2.53</v>
      </c>
      <c r="O20" s="1">
        <v>13504.37</v>
      </c>
      <c r="P20" s="1">
        <v>0</v>
      </c>
      <c r="R20" s="1" t="str">
        <f t="shared" si="0"/>
        <v>人民币</v>
      </c>
      <c r="S20" s="1" t="str">
        <f t="shared" si="8"/>
        <v>T4000058</v>
      </c>
    </row>
    <row r="21" spans="1:19">
      <c r="A21" s="1" t="str">
        <f t="shared" si="7"/>
        <v>20210908</v>
      </c>
      <c r="D21" s="1" t="str">
        <f>"偿还融资负债本金"</f>
        <v>偿还融资负债本金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-10914.11</v>
      </c>
      <c r="O21" s="1">
        <v>2590.26</v>
      </c>
      <c r="P21" s="1">
        <v>0</v>
      </c>
      <c r="R21" s="1" t="str">
        <f t="shared" si="0"/>
        <v>人民币</v>
      </c>
      <c r="S21" s="1" t="str">
        <f t="shared" si="8"/>
        <v>T4000058</v>
      </c>
    </row>
    <row r="22" spans="1:19">
      <c r="A22" s="1" t="str">
        <f t="shared" si="7"/>
        <v>20210908</v>
      </c>
      <c r="D22" s="1" t="str">
        <f>"偿还融资利息"</f>
        <v>偿还融资利息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-402.22</v>
      </c>
      <c r="O22" s="1">
        <v>2188.04</v>
      </c>
      <c r="P22" s="1">
        <v>0</v>
      </c>
      <c r="R22" s="1" t="str">
        <f t="shared" si="0"/>
        <v>人民币</v>
      </c>
      <c r="S22" s="1" t="str">
        <f t="shared" si="8"/>
        <v>T4000058</v>
      </c>
    </row>
    <row r="23" spans="1:19">
      <c r="A23" s="1" t="str">
        <f t="shared" si="7"/>
        <v>20210908</v>
      </c>
      <c r="D23" s="1" t="str">
        <f>"偿还融资负债本金"</f>
        <v>偿还融资负债本金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-1708.82</v>
      </c>
      <c r="O23" s="1">
        <v>479.22</v>
      </c>
      <c r="P23" s="1">
        <v>0</v>
      </c>
      <c r="R23" s="1" t="str">
        <f t="shared" si="0"/>
        <v>人民币</v>
      </c>
      <c r="S23" s="1" t="str">
        <f t="shared" si="8"/>
        <v>T4000058</v>
      </c>
    </row>
    <row r="24" spans="1:18">
      <c r="A24" s="1" t="str">
        <f>"20210909"</f>
        <v>20210909</v>
      </c>
      <c r="B24" s="1" t="str">
        <f>"000543"</f>
        <v>000543</v>
      </c>
      <c r="C24" s="1" t="str">
        <f>"皖能电力"</f>
        <v>皖能电力</v>
      </c>
      <c r="D24" s="1" t="str">
        <f>"股息红利差异扣税"</f>
        <v>股息红利差异扣税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-22.8</v>
      </c>
      <c r="O24" s="1">
        <v>456.42</v>
      </c>
      <c r="P24" s="1">
        <v>0</v>
      </c>
      <c r="Q24" s="1" t="str">
        <f>"0602175409"</f>
        <v>0602175409</v>
      </c>
      <c r="R24" s="1" t="str">
        <f t="shared" si="0"/>
        <v>人民币</v>
      </c>
    </row>
    <row r="25" spans="1:19">
      <c r="A25" s="1" t="str">
        <f t="shared" ref="A25:A29" si="9">"20210910"</f>
        <v>20210910</v>
      </c>
      <c r="B25" s="1" t="str">
        <f>"002183"</f>
        <v>002183</v>
      </c>
      <c r="C25" s="1" t="str">
        <f>"怡 亚 通"</f>
        <v>怡 亚 通</v>
      </c>
      <c r="D25" s="1" t="str">
        <f>"担保品卖出"</f>
        <v>担保品卖出</v>
      </c>
      <c r="E25" s="1">
        <v>7.47</v>
      </c>
      <c r="F25" s="1">
        <v>2500</v>
      </c>
      <c r="G25" s="1">
        <v>18675</v>
      </c>
      <c r="H25" s="1">
        <v>5</v>
      </c>
      <c r="I25" s="1">
        <v>3.35</v>
      </c>
      <c r="J25" s="1">
        <v>18.68</v>
      </c>
      <c r="K25" s="1">
        <v>0</v>
      </c>
      <c r="L25" s="1">
        <v>0</v>
      </c>
      <c r="M25" s="1">
        <v>0</v>
      </c>
      <c r="N25" s="1">
        <v>18651.32</v>
      </c>
      <c r="O25" s="1">
        <v>19107.74</v>
      </c>
      <c r="P25" s="1">
        <v>10000</v>
      </c>
      <c r="Q25" s="1" t="str">
        <f>"0602175409"</f>
        <v>0602175409</v>
      </c>
      <c r="R25" s="1" t="str">
        <f t="shared" si="0"/>
        <v>人民币</v>
      </c>
      <c r="S25" s="1" t="str">
        <f>"T4001035"</f>
        <v>T4001035</v>
      </c>
    </row>
    <row r="26" spans="1:18">
      <c r="A26" s="1" t="str">
        <f t="shared" si="9"/>
        <v>20210910</v>
      </c>
      <c r="D26" s="1" t="str">
        <f>"偿还融资利息"</f>
        <v>偿还融资利息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-8.04</v>
      </c>
      <c r="O26" s="1">
        <v>19099.7</v>
      </c>
      <c r="P26" s="1">
        <v>0</v>
      </c>
      <c r="R26" s="1" t="str">
        <f t="shared" si="0"/>
        <v>人民币</v>
      </c>
    </row>
    <row r="27" spans="1:18">
      <c r="A27" s="1" t="str">
        <f t="shared" si="9"/>
        <v>20210910</v>
      </c>
      <c r="D27" s="1" t="str">
        <f>"偿还融资负债本金"</f>
        <v>偿还融资负债本金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-17346.9</v>
      </c>
      <c r="O27" s="1">
        <v>1752.8</v>
      </c>
      <c r="P27" s="1">
        <v>0</v>
      </c>
      <c r="R27" s="1" t="str">
        <f t="shared" si="0"/>
        <v>人民币</v>
      </c>
    </row>
    <row r="28" spans="1:18">
      <c r="A28" s="1" t="str">
        <f t="shared" si="9"/>
        <v>20210910</v>
      </c>
      <c r="D28" s="1" t="str">
        <f>"偿还融资利息"</f>
        <v>偿还融资利息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-866.52</v>
      </c>
      <c r="O28" s="1">
        <v>886.28</v>
      </c>
      <c r="P28" s="1">
        <v>0</v>
      </c>
      <c r="R28" s="1" t="str">
        <f t="shared" si="0"/>
        <v>人民币</v>
      </c>
    </row>
    <row r="29" spans="1:18">
      <c r="A29" s="1" t="str">
        <f t="shared" si="9"/>
        <v>20210910</v>
      </c>
      <c r="D29" s="1" t="str">
        <f>"偿还融资负债本金"</f>
        <v>偿还融资负债本金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-378.54</v>
      </c>
      <c r="O29" s="1">
        <v>507.74</v>
      </c>
      <c r="P29" s="1">
        <v>0</v>
      </c>
      <c r="R29" s="1" t="str">
        <f t="shared" si="0"/>
        <v>人民币</v>
      </c>
    </row>
    <row r="30" spans="1:19">
      <c r="A30" s="1" t="str">
        <f>"20210914"</f>
        <v>20210914</v>
      </c>
      <c r="B30" s="1" t="str">
        <f>"000543"</f>
        <v>000543</v>
      </c>
      <c r="C30" s="1" t="str">
        <f>"皖能电力"</f>
        <v>皖能电力</v>
      </c>
      <c r="D30" s="1" t="str">
        <f>"融资买入"</f>
        <v>融资买入</v>
      </c>
      <c r="E30" s="1">
        <v>4.14</v>
      </c>
      <c r="F30" s="1">
        <v>3000</v>
      </c>
      <c r="G30" s="1">
        <v>12420</v>
      </c>
      <c r="H30" s="1">
        <v>5</v>
      </c>
      <c r="I30" s="1">
        <v>3.9</v>
      </c>
      <c r="J30" s="1">
        <v>0</v>
      </c>
      <c r="K30" s="1">
        <v>0</v>
      </c>
      <c r="L30" s="1">
        <v>0</v>
      </c>
      <c r="M30" s="1">
        <v>0</v>
      </c>
      <c r="N30" s="1">
        <v>-12425</v>
      </c>
      <c r="O30" s="1">
        <v>-11917.26</v>
      </c>
      <c r="P30" s="1">
        <v>36000</v>
      </c>
      <c r="Q30" s="1" t="str">
        <f>"0602175409"</f>
        <v>0602175409</v>
      </c>
      <c r="R30" s="1" t="str">
        <f t="shared" si="0"/>
        <v>人民币</v>
      </c>
      <c r="S30" s="1" t="str">
        <f>"T4000062"</f>
        <v>T4000062</v>
      </c>
    </row>
    <row r="31" spans="1:19">
      <c r="A31" s="1" t="str">
        <f>"20210914"</f>
        <v>20210914</v>
      </c>
      <c r="D31" s="1" t="str">
        <f>"融资借入"</f>
        <v>融资借入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12425</v>
      </c>
      <c r="O31" s="1">
        <v>507.74</v>
      </c>
      <c r="P31" s="1">
        <v>0</v>
      </c>
      <c r="R31" s="1" t="str">
        <f t="shared" si="0"/>
        <v>人民币</v>
      </c>
      <c r="S31" s="1" t="str">
        <f>"T4000062"</f>
        <v>T4000062</v>
      </c>
    </row>
    <row r="32" spans="1:18">
      <c r="A32" s="1" t="str">
        <f t="shared" ref="A32:A34" si="10">"20210916"</f>
        <v>20210916</v>
      </c>
      <c r="B32" s="1" t="str">
        <f>"600028"</f>
        <v>600028</v>
      </c>
      <c r="C32" s="1" t="str">
        <f>"中国石化"</f>
        <v>中国石化</v>
      </c>
      <c r="D32" s="1" t="str">
        <f>"红利入账"</f>
        <v>红利入账</v>
      </c>
      <c r="E32" s="1">
        <v>0</v>
      </c>
      <c r="F32" s="1">
        <v>10700</v>
      </c>
      <c r="G32" s="1">
        <v>1712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1712</v>
      </c>
      <c r="O32" s="1">
        <v>2219.74</v>
      </c>
      <c r="P32" s="1">
        <v>0</v>
      </c>
      <c r="Q32" s="1" t="str">
        <f>"E021635187"</f>
        <v>E021635187</v>
      </c>
      <c r="R32" s="1" t="str">
        <f t="shared" si="0"/>
        <v>人民币</v>
      </c>
    </row>
    <row r="33" spans="1:19">
      <c r="A33" s="1" t="str">
        <f t="shared" si="10"/>
        <v>20210916</v>
      </c>
      <c r="B33" s="1" t="str">
        <f>"600066"</f>
        <v>600066</v>
      </c>
      <c r="C33" s="1" t="str">
        <f>"宇通客车"</f>
        <v>宇通客车</v>
      </c>
      <c r="D33" s="1" t="str">
        <f>"融资买入"</f>
        <v>融资买入</v>
      </c>
      <c r="E33" s="1">
        <v>11.33</v>
      </c>
      <c r="F33" s="1">
        <v>1000</v>
      </c>
      <c r="G33" s="1">
        <v>11330</v>
      </c>
      <c r="H33" s="1">
        <v>5</v>
      </c>
      <c r="I33" s="1">
        <v>4.22</v>
      </c>
      <c r="J33" s="1">
        <v>0</v>
      </c>
      <c r="K33" s="1">
        <v>0.23</v>
      </c>
      <c r="L33" s="1">
        <v>0</v>
      </c>
      <c r="M33" s="1">
        <v>0</v>
      </c>
      <c r="N33" s="1">
        <v>-11335.23</v>
      </c>
      <c r="O33" s="1">
        <v>-9115.49</v>
      </c>
      <c r="P33" s="1">
        <v>1000</v>
      </c>
      <c r="Q33" s="1" t="str">
        <f>"E021635187"</f>
        <v>E021635187</v>
      </c>
      <c r="R33" s="1" t="str">
        <f t="shared" si="0"/>
        <v>人民币</v>
      </c>
      <c r="S33" s="1" t="str">
        <f>"0136000669"</f>
        <v>0136000669</v>
      </c>
    </row>
    <row r="34" spans="1:19">
      <c r="A34" s="1" t="str">
        <f t="shared" si="10"/>
        <v>20210916</v>
      </c>
      <c r="D34" s="1" t="str">
        <f>"融资借入"</f>
        <v>融资借入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11335.23</v>
      </c>
      <c r="O34" s="1">
        <v>2219.74</v>
      </c>
      <c r="P34" s="1">
        <v>0</v>
      </c>
      <c r="R34" s="1" t="str">
        <f t="shared" si="0"/>
        <v>人民币</v>
      </c>
      <c r="S34" s="1" t="str">
        <f>"0136000669"</f>
        <v>0136000669</v>
      </c>
    </row>
    <row r="35" spans="1:18">
      <c r="A35" s="1" t="str">
        <f t="shared" ref="A35:A39" si="11">"20210917"</f>
        <v>20210917</v>
      </c>
      <c r="D35" s="1" t="str">
        <f>"利息归本"</f>
        <v>利息归本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4.14</v>
      </c>
      <c r="O35" s="1">
        <v>2223.88</v>
      </c>
      <c r="P35" s="1">
        <v>0</v>
      </c>
      <c r="R35" s="1" t="str">
        <f t="shared" si="0"/>
        <v>人民币</v>
      </c>
    </row>
    <row r="36" spans="1:18">
      <c r="A36" s="1" t="str">
        <f t="shared" si="11"/>
        <v>20210917</v>
      </c>
      <c r="D36" s="1" t="str">
        <f>"偿还融资利息"</f>
        <v>偿还融资利息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-25.19</v>
      </c>
      <c r="O36" s="1">
        <v>2198.69</v>
      </c>
      <c r="P36" s="1">
        <v>0</v>
      </c>
      <c r="R36" s="1" t="str">
        <f t="shared" si="0"/>
        <v>人民币</v>
      </c>
    </row>
    <row r="37" spans="1:18">
      <c r="A37" s="1" t="str">
        <f t="shared" si="11"/>
        <v>20210917</v>
      </c>
      <c r="D37" s="1" t="str">
        <f>"偿还融资负债本金"</f>
        <v>偿还融资负债本金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-1774.81</v>
      </c>
      <c r="O37" s="1">
        <v>423.88</v>
      </c>
      <c r="P37" s="1">
        <v>0</v>
      </c>
      <c r="R37" s="1" t="str">
        <f t="shared" si="0"/>
        <v>人民币</v>
      </c>
    </row>
    <row r="38" spans="1:18">
      <c r="A38" s="1" t="str">
        <f t="shared" si="11"/>
        <v>20210917</v>
      </c>
      <c r="D38" s="1" t="str">
        <f>"偿还融资利息"</f>
        <v>偿还融资利息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-3.19</v>
      </c>
      <c r="O38" s="1">
        <v>420.69</v>
      </c>
      <c r="P38" s="1">
        <v>0</v>
      </c>
      <c r="R38" s="1" t="str">
        <f t="shared" si="0"/>
        <v>人民币</v>
      </c>
    </row>
    <row r="39" spans="1:18">
      <c r="A39" s="1" t="str">
        <f t="shared" si="11"/>
        <v>20210917</v>
      </c>
      <c r="D39" s="1" t="str">
        <f>"偿还融券费用"</f>
        <v>偿还融券费用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-9.93</v>
      </c>
      <c r="O39" s="1">
        <v>410.76</v>
      </c>
      <c r="P39" s="1">
        <v>0</v>
      </c>
      <c r="R39" s="1" t="str">
        <f t="shared" si="0"/>
        <v>人民币</v>
      </c>
    </row>
    <row r="40" spans="1:19">
      <c r="A40" s="1" t="str">
        <f t="shared" ref="A40:A47" si="12">"20210922"</f>
        <v>20210922</v>
      </c>
      <c r="B40" s="1" t="str">
        <f>"000543"</f>
        <v>000543</v>
      </c>
      <c r="C40" s="1" t="str">
        <f>"皖能电力"</f>
        <v>皖能电力</v>
      </c>
      <c r="D40" s="1" t="str">
        <f>"卖券还款"</f>
        <v>卖券还款</v>
      </c>
      <c r="E40" s="1">
        <v>4.35</v>
      </c>
      <c r="F40" s="1">
        <v>3000</v>
      </c>
      <c r="G40" s="1">
        <v>13050</v>
      </c>
      <c r="H40" s="1">
        <v>5</v>
      </c>
      <c r="I40" s="1">
        <v>3.84</v>
      </c>
      <c r="J40" s="1">
        <v>13.05</v>
      </c>
      <c r="K40" s="1">
        <v>0</v>
      </c>
      <c r="L40" s="1">
        <v>0</v>
      </c>
      <c r="M40" s="1">
        <v>0</v>
      </c>
      <c r="N40" s="1">
        <v>13031.95</v>
      </c>
      <c r="O40" s="1">
        <v>13442.71</v>
      </c>
      <c r="P40" s="1">
        <v>33000</v>
      </c>
      <c r="Q40" s="1" t="str">
        <f>"0602175409"</f>
        <v>0602175409</v>
      </c>
      <c r="R40" s="1" t="str">
        <f t="shared" si="0"/>
        <v>人民币</v>
      </c>
      <c r="S40" s="1" t="str">
        <f t="shared" ref="S40:S43" si="13">"T4000031"</f>
        <v>T4000031</v>
      </c>
    </row>
    <row r="41" spans="1:19">
      <c r="A41" s="1" t="str">
        <f t="shared" si="12"/>
        <v>20210922</v>
      </c>
      <c r="B41" s="1" t="str">
        <f>"000543"</f>
        <v>000543</v>
      </c>
      <c r="C41" s="1" t="str">
        <f>"皖能电力"</f>
        <v>皖能电力</v>
      </c>
      <c r="D41" s="1" t="str">
        <f>"卖券还款"</f>
        <v>卖券还款</v>
      </c>
      <c r="E41" s="1">
        <v>4.39</v>
      </c>
      <c r="F41" s="1">
        <v>3000</v>
      </c>
      <c r="G41" s="1">
        <v>13170</v>
      </c>
      <c r="H41" s="1">
        <v>5</v>
      </c>
      <c r="I41" s="1">
        <v>3.84</v>
      </c>
      <c r="J41" s="1">
        <v>13.17</v>
      </c>
      <c r="K41" s="1">
        <v>0</v>
      </c>
      <c r="L41" s="1">
        <v>0</v>
      </c>
      <c r="M41" s="1">
        <v>0</v>
      </c>
      <c r="N41" s="1">
        <v>13151.83</v>
      </c>
      <c r="O41" s="1">
        <v>26594.54</v>
      </c>
      <c r="P41" s="1">
        <v>30000</v>
      </c>
      <c r="Q41" s="1" t="str">
        <f>"0602175409"</f>
        <v>0602175409</v>
      </c>
      <c r="R41" s="1" t="str">
        <f t="shared" si="0"/>
        <v>人民币</v>
      </c>
      <c r="S41" s="1" t="str">
        <f t="shared" ref="S41:S47" si="14">"T4000690"</f>
        <v>T4000690</v>
      </c>
    </row>
    <row r="42" spans="1:19">
      <c r="A42" s="1" t="str">
        <f t="shared" si="12"/>
        <v>20210922</v>
      </c>
      <c r="D42" s="1" t="str">
        <f>"偿还融资利息"</f>
        <v>偿还融资利息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-12.74</v>
      </c>
      <c r="O42" s="1">
        <v>26581.8</v>
      </c>
      <c r="P42" s="1">
        <v>0</v>
      </c>
      <c r="R42" s="1" t="str">
        <f t="shared" si="0"/>
        <v>人民币</v>
      </c>
      <c r="S42" s="1" t="str">
        <f t="shared" si="13"/>
        <v>T4000031</v>
      </c>
    </row>
    <row r="43" spans="1:19">
      <c r="A43" s="1" t="str">
        <f t="shared" si="12"/>
        <v>20210922</v>
      </c>
      <c r="D43" s="1" t="str">
        <f t="shared" ref="D43:D47" si="15">"偿还融资负债本金"</f>
        <v>偿还融资负债本金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-12984.96</v>
      </c>
      <c r="O43" s="1">
        <v>13596.84</v>
      </c>
      <c r="P43" s="1">
        <v>0</v>
      </c>
      <c r="R43" s="1" t="str">
        <f t="shared" si="0"/>
        <v>人民币</v>
      </c>
      <c r="S43" s="1" t="str">
        <f t="shared" si="13"/>
        <v>T4000031</v>
      </c>
    </row>
    <row r="44" spans="1:19">
      <c r="A44" s="1" t="str">
        <f t="shared" si="12"/>
        <v>20210922</v>
      </c>
      <c r="D44" s="1" t="str">
        <f t="shared" si="15"/>
        <v>偿还融资负债本金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-749.63</v>
      </c>
      <c r="O44" s="1">
        <v>12847.21</v>
      </c>
      <c r="P44" s="1">
        <v>0</v>
      </c>
      <c r="R44" s="1" t="str">
        <f t="shared" si="0"/>
        <v>人民币</v>
      </c>
      <c r="S44" s="1" t="str">
        <f t="shared" si="14"/>
        <v>T4000690</v>
      </c>
    </row>
    <row r="45" spans="1:19">
      <c r="A45" s="1" t="str">
        <f t="shared" si="12"/>
        <v>20210922</v>
      </c>
      <c r="D45" s="1" t="str">
        <f>"偿还融券费用"</f>
        <v>偿还融券费用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-293.44</v>
      </c>
      <c r="O45" s="1">
        <v>12553.77</v>
      </c>
      <c r="P45" s="1">
        <v>0</v>
      </c>
      <c r="R45" s="1" t="str">
        <f t="shared" si="0"/>
        <v>人民币</v>
      </c>
      <c r="S45" s="1" t="str">
        <f t="shared" si="14"/>
        <v>T4000690</v>
      </c>
    </row>
    <row r="46" spans="1:19">
      <c r="A46" s="1" t="str">
        <f t="shared" si="12"/>
        <v>20210922</v>
      </c>
      <c r="D46" s="1" t="str">
        <f>"偿还融资利息"</f>
        <v>偿还融资利息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-389.12</v>
      </c>
      <c r="O46" s="1">
        <v>12164.65</v>
      </c>
      <c r="P46" s="1">
        <v>0</v>
      </c>
      <c r="R46" s="1" t="str">
        <f t="shared" si="0"/>
        <v>人民币</v>
      </c>
      <c r="S46" s="1" t="str">
        <f t="shared" si="14"/>
        <v>T4000690</v>
      </c>
    </row>
    <row r="47" spans="1:19">
      <c r="A47" s="1" t="str">
        <f t="shared" si="12"/>
        <v>20210922</v>
      </c>
      <c r="D47" s="1" t="str">
        <f t="shared" si="15"/>
        <v>偿还融资负债本金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-11685.13</v>
      </c>
      <c r="O47" s="1">
        <v>479.52</v>
      </c>
      <c r="P47" s="1">
        <v>0</v>
      </c>
      <c r="R47" s="1" t="str">
        <f t="shared" si="0"/>
        <v>人民币</v>
      </c>
      <c r="S47" s="1" t="str">
        <f t="shared" si="14"/>
        <v>T4000690</v>
      </c>
    </row>
    <row r="48" spans="1:18">
      <c r="A48" s="1" t="str">
        <f>"20210923"</f>
        <v>20210923</v>
      </c>
      <c r="B48" s="1" t="str">
        <f>"000543"</f>
        <v>000543</v>
      </c>
      <c r="C48" s="1" t="str">
        <f>"皖能电力"</f>
        <v>皖能电力</v>
      </c>
      <c r="D48" s="1" t="str">
        <f>"股息红利差异扣税"</f>
        <v>股息红利差异扣税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-45.6</v>
      </c>
      <c r="O48" s="1">
        <v>433.92</v>
      </c>
      <c r="P48" s="1">
        <v>0</v>
      </c>
      <c r="Q48" s="1" t="str">
        <f>"0602175409"</f>
        <v>0602175409</v>
      </c>
      <c r="R48" s="1" t="str">
        <f t="shared" si="0"/>
        <v>人民币</v>
      </c>
    </row>
    <row r="49" spans="1:19">
      <c r="A49" s="1" t="str">
        <f t="shared" ref="A49:A54" si="16">"20210924"</f>
        <v>20210924</v>
      </c>
      <c r="B49" s="1" t="str">
        <f>"600066"</f>
        <v>600066</v>
      </c>
      <c r="C49" s="1" t="str">
        <f>"宇通客车"</f>
        <v>宇通客车</v>
      </c>
      <c r="D49" s="1" t="str">
        <f>"卖券还款"</f>
        <v>卖券还款</v>
      </c>
      <c r="E49" s="1">
        <v>11.38</v>
      </c>
      <c r="F49" s="1">
        <v>1000</v>
      </c>
      <c r="G49" s="1">
        <v>11380</v>
      </c>
      <c r="H49" s="1">
        <v>5</v>
      </c>
      <c r="I49" s="1">
        <v>4.22</v>
      </c>
      <c r="J49" s="1">
        <v>11.38</v>
      </c>
      <c r="K49" s="1">
        <v>0.23</v>
      </c>
      <c r="L49" s="1">
        <v>0</v>
      </c>
      <c r="M49" s="1">
        <v>0</v>
      </c>
      <c r="N49" s="1">
        <v>11363.39</v>
      </c>
      <c r="O49" s="1">
        <v>11797.31</v>
      </c>
      <c r="P49" s="1">
        <v>0</v>
      </c>
      <c r="Q49" s="1" t="str">
        <f>"E021635187"</f>
        <v>E021635187</v>
      </c>
      <c r="R49" s="1" t="str">
        <f t="shared" si="0"/>
        <v>人民币</v>
      </c>
      <c r="S49" s="1" t="str">
        <f t="shared" ref="S49:S54" si="17">"0136000720"</f>
        <v>0136000720</v>
      </c>
    </row>
    <row r="50" spans="1:19">
      <c r="A50" s="1" t="str">
        <f t="shared" si="16"/>
        <v>20210924</v>
      </c>
      <c r="D50" s="1" t="str">
        <f>"偿还融券费用"</f>
        <v>偿还融券费用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-2.73</v>
      </c>
      <c r="O50" s="1">
        <v>11794.58</v>
      </c>
      <c r="P50" s="1">
        <v>0</v>
      </c>
      <c r="R50" s="1" t="str">
        <f t="shared" si="0"/>
        <v>人民币</v>
      </c>
      <c r="S50" s="1" t="str">
        <f t="shared" si="17"/>
        <v>0136000720</v>
      </c>
    </row>
    <row r="51" spans="1:19">
      <c r="A51" s="1" t="str">
        <f t="shared" si="16"/>
        <v>20210924</v>
      </c>
      <c r="D51" s="1" t="str">
        <f>"偿还融资利息"</f>
        <v>偿还融资利息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-1.2</v>
      </c>
      <c r="O51" s="1">
        <v>11793.38</v>
      </c>
      <c r="P51" s="1">
        <v>0</v>
      </c>
      <c r="R51" s="1" t="str">
        <f t="shared" si="0"/>
        <v>人民币</v>
      </c>
      <c r="S51" s="1" t="str">
        <f t="shared" si="17"/>
        <v>0136000720</v>
      </c>
    </row>
    <row r="52" spans="1:19">
      <c r="A52" s="1" t="str">
        <f t="shared" si="16"/>
        <v>20210924</v>
      </c>
      <c r="D52" s="1" t="str">
        <f>"偿还融资负债本金"</f>
        <v>偿还融资负债本金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-2598.72</v>
      </c>
      <c r="O52" s="1">
        <v>9194.66</v>
      </c>
      <c r="P52" s="1">
        <v>0</v>
      </c>
      <c r="R52" s="1" t="str">
        <f t="shared" si="0"/>
        <v>人民币</v>
      </c>
      <c r="S52" s="1" t="str">
        <f t="shared" si="17"/>
        <v>0136000720</v>
      </c>
    </row>
    <row r="53" spans="1:19">
      <c r="A53" s="1" t="str">
        <f t="shared" si="16"/>
        <v>20210924</v>
      </c>
      <c r="D53" s="1" t="str">
        <f>"偿还融资利息"</f>
        <v>偿还融资利息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-1223.43</v>
      </c>
      <c r="O53" s="1">
        <v>7971.23</v>
      </c>
      <c r="P53" s="1">
        <v>0</v>
      </c>
      <c r="R53" s="1" t="str">
        <f t="shared" si="0"/>
        <v>人民币</v>
      </c>
      <c r="S53" s="1" t="str">
        <f t="shared" si="17"/>
        <v>0136000720</v>
      </c>
    </row>
    <row r="54" spans="1:19">
      <c r="A54" s="1" t="str">
        <f t="shared" si="16"/>
        <v>20210924</v>
      </c>
      <c r="D54" s="1" t="str">
        <f>"偿还融资负债本金"</f>
        <v>偿还融资负债本金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-7508.17</v>
      </c>
      <c r="O54" s="1">
        <v>463.06</v>
      </c>
      <c r="P54" s="1">
        <v>0</v>
      </c>
      <c r="R54" s="1" t="str">
        <f t="shared" si="0"/>
        <v>人民币</v>
      </c>
      <c r="S54" s="1" t="str">
        <f t="shared" si="17"/>
        <v>0136000720</v>
      </c>
    </row>
    <row r="55" spans="1:19">
      <c r="A55" s="1" t="str">
        <f>"20210927"</f>
        <v>20210927</v>
      </c>
      <c r="B55" s="1" t="str">
        <f>"000543"</f>
        <v>000543</v>
      </c>
      <c r="C55" s="1" t="str">
        <f>"皖能电力"</f>
        <v>皖能电力</v>
      </c>
      <c r="D55" s="1" t="str">
        <f>"融资买入"</f>
        <v>融资买入</v>
      </c>
      <c r="E55" s="1">
        <v>4.13</v>
      </c>
      <c r="F55" s="1">
        <v>3000</v>
      </c>
      <c r="G55" s="1">
        <v>12390</v>
      </c>
      <c r="H55" s="1">
        <v>5</v>
      </c>
      <c r="I55" s="1">
        <v>3.9</v>
      </c>
      <c r="J55" s="1">
        <v>0</v>
      </c>
      <c r="K55" s="1">
        <v>0</v>
      </c>
      <c r="L55" s="1">
        <v>0</v>
      </c>
      <c r="M55" s="1">
        <v>0</v>
      </c>
      <c r="N55" s="1">
        <v>-12395</v>
      </c>
      <c r="O55" s="1">
        <v>-11931.94</v>
      </c>
      <c r="P55" s="1">
        <v>33000</v>
      </c>
      <c r="Q55" s="1" t="str">
        <f>"0602175409"</f>
        <v>0602175409</v>
      </c>
      <c r="R55" s="1" t="str">
        <f t="shared" si="0"/>
        <v>人民币</v>
      </c>
      <c r="S55" s="1" t="str">
        <f>"T4000032"</f>
        <v>T4000032</v>
      </c>
    </row>
    <row r="56" spans="1:19">
      <c r="A56" s="1" t="str">
        <f>"20210927"</f>
        <v>20210927</v>
      </c>
      <c r="D56" s="1" t="str">
        <f>"融资借入"</f>
        <v>融资借入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12395</v>
      </c>
      <c r="O56" s="1">
        <v>463.06</v>
      </c>
      <c r="P56" s="1">
        <v>0</v>
      </c>
      <c r="R56" s="1" t="str">
        <f t="shared" si="0"/>
        <v>人民币</v>
      </c>
      <c r="S56" s="1" t="str">
        <f>"T4000032"</f>
        <v>T4000032</v>
      </c>
    </row>
    <row r="57" spans="1:19">
      <c r="A57" s="1" t="str">
        <f t="shared" ref="A57:A62" si="18">"20210928"</f>
        <v>20210928</v>
      </c>
      <c r="B57" s="1" t="str">
        <f>"000543"</f>
        <v>000543</v>
      </c>
      <c r="C57" s="1" t="str">
        <f>"皖能电力"</f>
        <v>皖能电力</v>
      </c>
      <c r="D57" s="1" t="str">
        <f>"卖券还款"</f>
        <v>卖券还款</v>
      </c>
      <c r="E57" s="1">
        <v>4.34</v>
      </c>
      <c r="F57" s="1">
        <v>3000</v>
      </c>
      <c r="G57" s="1">
        <v>13020</v>
      </c>
      <c r="H57" s="1">
        <v>5</v>
      </c>
      <c r="I57" s="1">
        <v>3.85</v>
      </c>
      <c r="J57" s="1">
        <v>13.02</v>
      </c>
      <c r="K57" s="1">
        <v>0</v>
      </c>
      <c r="L57" s="1">
        <v>0</v>
      </c>
      <c r="M57" s="1">
        <v>0</v>
      </c>
      <c r="N57" s="1">
        <v>13001.98</v>
      </c>
      <c r="O57" s="1">
        <v>13465.04</v>
      </c>
      <c r="P57" s="1">
        <v>30000</v>
      </c>
      <c r="Q57" s="1" t="str">
        <f>"0602175409"</f>
        <v>0602175409</v>
      </c>
      <c r="R57" s="1" t="str">
        <f t="shared" si="0"/>
        <v>人民币</v>
      </c>
      <c r="S57" s="1" t="str">
        <f t="shared" ref="S57:S62" si="19">"T4000002"</f>
        <v>T4000002</v>
      </c>
    </row>
    <row r="58" spans="1:19">
      <c r="A58" s="1" t="str">
        <f t="shared" si="18"/>
        <v>20210928</v>
      </c>
      <c r="D58" s="1" t="str">
        <f>"偿还融券费用"</f>
        <v>偿还融券费用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-5.49</v>
      </c>
      <c r="O58" s="1">
        <v>13459.55</v>
      </c>
      <c r="P58" s="1">
        <v>0</v>
      </c>
      <c r="R58" s="1" t="str">
        <f t="shared" si="0"/>
        <v>人民币</v>
      </c>
      <c r="S58" s="1" t="str">
        <f t="shared" si="19"/>
        <v>T4000002</v>
      </c>
    </row>
    <row r="59" spans="1:19">
      <c r="A59" s="1" t="str">
        <f t="shared" si="18"/>
        <v>20210928</v>
      </c>
      <c r="D59" s="1" t="str">
        <f>"偿还融资利息"</f>
        <v>偿还融资利息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-11.6</v>
      </c>
      <c r="O59" s="1">
        <v>13447.95</v>
      </c>
      <c r="P59" s="1">
        <v>0</v>
      </c>
      <c r="R59" s="1" t="str">
        <f t="shared" si="0"/>
        <v>人民币</v>
      </c>
      <c r="S59" s="1" t="str">
        <f t="shared" si="19"/>
        <v>T4000002</v>
      </c>
    </row>
    <row r="60" spans="1:19">
      <c r="A60" s="1" t="str">
        <f t="shared" si="18"/>
        <v>20210928</v>
      </c>
      <c r="D60" s="1" t="str">
        <f>"偿还融资负债本金"</f>
        <v>偿还融资负债本金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-12501.83</v>
      </c>
      <c r="O60" s="1">
        <v>946.12</v>
      </c>
      <c r="P60" s="1">
        <v>0</v>
      </c>
      <c r="R60" s="1" t="str">
        <f t="shared" si="0"/>
        <v>人民币</v>
      </c>
      <c r="S60" s="1" t="str">
        <f t="shared" si="19"/>
        <v>T4000002</v>
      </c>
    </row>
    <row r="61" spans="1:19">
      <c r="A61" s="1" t="str">
        <f t="shared" si="18"/>
        <v>20210928</v>
      </c>
      <c r="D61" s="1" t="str">
        <f>"偿还融资利息"</f>
        <v>偿还融资利息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-432.98</v>
      </c>
      <c r="O61" s="1">
        <v>513.14</v>
      </c>
      <c r="P61" s="1">
        <v>0</v>
      </c>
      <c r="R61" s="1" t="str">
        <f t="shared" si="0"/>
        <v>人民币</v>
      </c>
      <c r="S61" s="1" t="str">
        <f t="shared" si="19"/>
        <v>T4000002</v>
      </c>
    </row>
    <row r="62" spans="1:19">
      <c r="A62" s="1" t="str">
        <f t="shared" si="18"/>
        <v>20210928</v>
      </c>
      <c r="D62" s="1" t="str">
        <f>"偿还融资负债本金"</f>
        <v>偿还融资负债本金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-16.02</v>
      </c>
      <c r="O62" s="1">
        <v>497.12</v>
      </c>
      <c r="P62" s="1">
        <v>0</v>
      </c>
      <c r="R62" s="1" t="str">
        <f t="shared" si="0"/>
        <v>人民币</v>
      </c>
      <c r="S62" s="1" t="str">
        <f t="shared" si="19"/>
        <v>T4000002</v>
      </c>
    </row>
    <row r="63" spans="1:18">
      <c r="A63" s="1" t="str">
        <f>"20210929"</f>
        <v>20210929</v>
      </c>
      <c r="B63" s="1" t="str">
        <f t="shared" ref="B63:B66" si="20">"000543"</f>
        <v>000543</v>
      </c>
      <c r="C63" s="1" t="str">
        <f t="shared" ref="C63:C66" si="21">"皖能电力"</f>
        <v>皖能电力</v>
      </c>
      <c r="D63" s="1" t="str">
        <f>"股息红利差异扣税"</f>
        <v>股息红利差异扣税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-22.8</v>
      </c>
      <c r="O63" s="1">
        <v>474.32</v>
      </c>
      <c r="P63" s="1">
        <v>0</v>
      </c>
      <c r="Q63" s="1" t="str">
        <f t="shared" ref="Q63:Q66" si="22">"0602175409"</f>
        <v>0602175409</v>
      </c>
      <c r="R63" s="1" t="str">
        <f t="shared" si="0"/>
        <v>人民币</v>
      </c>
    </row>
    <row r="64" spans="1:19">
      <c r="A64" s="1" t="str">
        <f t="shared" ref="A64:A73" si="23">"20210930"</f>
        <v>20210930</v>
      </c>
      <c r="B64" s="1" t="str">
        <f t="shared" si="20"/>
        <v>000543</v>
      </c>
      <c r="C64" s="1" t="str">
        <f t="shared" si="21"/>
        <v>皖能电力</v>
      </c>
      <c r="D64" s="1" t="str">
        <f>"卖券还款"</f>
        <v>卖券还款</v>
      </c>
      <c r="E64" s="1">
        <v>4.56</v>
      </c>
      <c r="F64" s="1">
        <v>3000</v>
      </c>
      <c r="G64" s="1">
        <v>13680</v>
      </c>
      <c r="H64" s="1">
        <v>5</v>
      </c>
      <c r="I64" s="1">
        <v>3.79</v>
      </c>
      <c r="J64" s="1">
        <v>13.68</v>
      </c>
      <c r="K64" s="1">
        <v>0</v>
      </c>
      <c r="L64" s="1">
        <v>0</v>
      </c>
      <c r="M64" s="1">
        <v>0</v>
      </c>
      <c r="N64" s="1">
        <v>13661.32</v>
      </c>
      <c r="O64" s="1">
        <v>14135.64</v>
      </c>
      <c r="P64" s="1">
        <v>27000</v>
      </c>
      <c r="Q64" s="1" t="str">
        <f t="shared" si="22"/>
        <v>0602175409</v>
      </c>
      <c r="R64" s="1" t="str">
        <f t="shared" si="0"/>
        <v>人民币</v>
      </c>
      <c r="S64" s="1" t="str">
        <f t="shared" ref="S64:S70" si="24">"T4000012"</f>
        <v>T4000012</v>
      </c>
    </row>
    <row r="65" spans="1:19">
      <c r="A65" s="1" t="str">
        <f t="shared" si="23"/>
        <v>20210930</v>
      </c>
      <c r="B65" s="1" t="str">
        <f t="shared" si="20"/>
        <v>000543</v>
      </c>
      <c r="C65" s="1" t="str">
        <f t="shared" si="21"/>
        <v>皖能电力</v>
      </c>
      <c r="D65" s="1" t="str">
        <f>"融资买入"</f>
        <v>融资买入</v>
      </c>
      <c r="E65" s="1">
        <v>4.33</v>
      </c>
      <c r="F65" s="1">
        <v>3000</v>
      </c>
      <c r="G65" s="1">
        <v>12990</v>
      </c>
      <c r="H65" s="1">
        <v>5</v>
      </c>
      <c r="I65" s="1">
        <v>3.84</v>
      </c>
      <c r="J65" s="1">
        <v>0</v>
      </c>
      <c r="K65" s="1">
        <v>0</v>
      </c>
      <c r="L65" s="1">
        <v>0</v>
      </c>
      <c r="M65" s="1">
        <v>0</v>
      </c>
      <c r="N65" s="1">
        <v>-12995</v>
      </c>
      <c r="O65" s="1">
        <v>1140.64</v>
      </c>
      <c r="P65" s="1">
        <v>30000</v>
      </c>
      <c r="Q65" s="1" t="str">
        <f t="shared" si="22"/>
        <v>0602175409</v>
      </c>
      <c r="R65" s="1" t="str">
        <f t="shared" si="0"/>
        <v>人民币</v>
      </c>
      <c r="S65" s="1" t="str">
        <f>"T4000363"</f>
        <v>T4000363</v>
      </c>
    </row>
    <row r="66" spans="1:19">
      <c r="A66" s="1" t="str">
        <f t="shared" si="23"/>
        <v>20210930</v>
      </c>
      <c r="B66" s="1" t="str">
        <f t="shared" si="20"/>
        <v>000543</v>
      </c>
      <c r="C66" s="1" t="str">
        <f t="shared" si="21"/>
        <v>皖能电力</v>
      </c>
      <c r="D66" s="1" t="str">
        <f>"卖券还款"</f>
        <v>卖券还款</v>
      </c>
      <c r="E66" s="1">
        <v>4.55</v>
      </c>
      <c r="F66" s="1">
        <v>3000</v>
      </c>
      <c r="G66" s="1">
        <v>13650</v>
      </c>
      <c r="H66" s="1">
        <v>5</v>
      </c>
      <c r="I66" s="1">
        <v>3.8</v>
      </c>
      <c r="J66" s="1">
        <v>13.65</v>
      </c>
      <c r="K66" s="1">
        <v>0</v>
      </c>
      <c r="L66" s="1">
        <v>0</v>
      </c>
      <c r="M66" s="1">
        <v>0</v>
      </c>
      <c r="N66" s="1">
        <v>13631.35</v>
      </c>
      <c r="O66" s="1">
        <v>14771.99</v>
      </c>
      <c r="P66" s="1">
        <v>27000</v>
      </c>
      <c r="Q66" s="1" t="str">
        <f t="shared" si="22"/>
        <v>0602175409</v>
      </c>
      <c r="R66" s="1" t="str">
        <f t="shared" ref="R66:R73" si="25">"人民币"</f>
        <v>人民币</v>
      </c>
      <c r="S66" s="1" t="str">
        <f>"T4001016"</f>
        <v>T4001016</v>
      </c>
    </row>
    <row r="67" spans="1:19">
      <c r="A67" s="1" t="str">
        <f t="shared" si="23"/>
        <v>20210930</v>
      </c>
      <c r="D67" s="1" t="str">
        <f>"融资借入"</f>
        <v>融资借入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12995</v>
      </c>
      <c r="O67" s="1">
        <v>27766.99</v>
      </c>
      <c r="P67" s="1">
        <v>0</v>
      </c>
      <c r="R67" s="1" t="str">
        <f t="shared" si="25"/>
        <v>人民币</v>
      </c>
      <c r="S67" s="1" t="str">
        <f>"T4000363"</f>
        <v>T4000363</v>
      </c>
    </row>
    <row r="68" spans="1:19">
      <c r="A68" s="1" t="str">
        <f t="shared" si="23"/>
        <v>20210930</v>
      </c>
      <c r="D68" s="1" t="str">
        <f>"偿还融券费用"</f>
        <v>偿还融券费用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-2.75</v>
      </c>
      <c r="O68" s="1">
        <v>27764.24</v>
      </c>
      <c r="P68" s="1">
        <v>0</v>
      </c>
      <c r="R68" s="1" t="str">
        <f t="shared" si="25"/>
        <v>人民币</v>
      </c>
      <c r="S68" s="1" t="str">
        <f t="shared" si="24"/>
        <v>T4000012</v>
      </c>
    </row>
    <row r="69" spans="1:19">
      <c r="A69" s="1" t="str">
        <f t="shared" si="23"/>
        <v>20210930</v>
      </c>
      <c r="D69" s="1" t="str">
        <f>"偿还融资利息"</f>
        <v>偿还融资利息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-8.54</v>
      </c>
      <c r="O69" s="1">
        <v>27755.7</v>
      </c>
      <c r="P69" s="1">
        <v>0</v>
      </c>
      <c r="R69" s="1" t="str">
        <f t="shared" si="25"/>
        <v>人民币</v>
      </c>
      <c r="S69" s="1" t="str">
        <f t="shared" si="24"/>
        <v>T4000012</v>
      </c>
    </row>
    <row r="70" spans="1:19">
      <c r="A70" s="1" t="str">
        <f t="shared" si="23"/>
        <v>20210930</v>
      </c>
      <c r="D70" s="1" t="str">
        <f t="shared" ref="D70:D73" si="26">"偿还融资负债本金"</f>
        <v>偿还融资负债本金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-13613.99</v>
      </c>
      <c r="O70" s="1">
        <v>14141.71</v>
      </c>
      <c r="P70" s="1">
        <v>0</v>
      </c>
      <c r="R70" s="1" t="str">
        <f t="shared" si="25"/>
        <v>人民币</v>
      </c>
      <c r="S70" s="1" t="str">
        <f t="shared" si="24"/>
        <v>T4000012</v>
      </c>
    </row>
    <row r="71" spans="1:19">
      <c r="A71" s="1" t="str">
        <f t="shared" si="23"/>
        <v>20210930</v>
      </c>
      <c r="D71" s="1" t="str">
        <f t="shared" si="26"/>
        <v>偿还融资负债本金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-4796.73</v>
      </c>
      <c r="O71" s="1">
        <v>9344.98</v>
      </c>
      <c r="P71" s="1">
        <v>0</v>
      </c>
      <c r="R71" s="1" t="str">
        <f t="shared" si="25"/>
        <v>人民币</v>
      </c>
      <c r="S71" s="1" t="str">
        <f t="shared" ref="S71:S73" si="27">"T4001016"</f>
        <v>T4001016</v>
      </c>
    </row>
    <row r="72" spans="1:19">
      <c r="A72" s="1" t="str">
        <f t="shared" si="23"/>
        <v>20210930</v>
      </c>
      <c r="D72" s="1" t="str">
        <f>"偿还融资利息"</f>
        <v>偿还融资利息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-1052.17</v>
      </c>
      <c r="O72" s="1">
        <v>8292.81</v>
      </c>
      <c r="P72" s="1">
        <v>0</v>
      </c>
      <c r="R72" s="1" t="str">
        <f t="shared" si="25"/>
        <v>人民币</v>
      </c>
      <c r="S72" s="1" t="str">
        <f t="shared" si="27"/>
        <v>T4001016</v>
      </c>
    </row>
    <row r="73" spans="1:19">
      <c r="A73" s="1" t="str">
        <f t="shared" si="23"/>
        <v>20210930</v>
      </c>
      <c r="D73" s="1" t="str">
        <f t="shared" si="26"/>
        <v>偿还融资负债本金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-7746.5</v>
      </c>
      <c r="O73" s="1">
        <v>546.31</v>
      </c>
      <c r="P73" s="1">
        <v>0</v>
      </c>
      <c r="R73" s="1" t="str">
        <f t="shared" si="25"/>
        <v>人民币</v>
      </c>
      <c r="S73" s="1" t="str">
        <f t="shared" si="27"/>
        <v>T4001016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0"/>
  <sheetViews>
    <sheetView workbookViewId="0">
      <selection activeCell="Q107" sqref="Q107"/>
    </sheetView>
  </sheetViews>
  <sheetFormatPr defaultColWidth="9" defaultRowHeight="13.5"/>
  <cols>
    <col min="1" max="13" width="9" style="1"/>
    <col min="14" max="15" width="10.375" style="1"/>
    <col min="16" max="16" width="9.375" style="1"/>
    <col min="17" max="16384" width="9" style="1"/>
  </cols>
  <sheetData>
    <row r="1" spans="1:19">
      <c r="A1" s="1" t="str">
        <f>"交割日期"</f>
        <v>交割日期</v>
      </c>
      <c r="B1" s="1" t="str">
        <f>"证券代码"</f>
        <v>证券代码</v>
      </c>
      <c r="C1" s="1" t="str">
        <f>"证券名称"</f>
        <v>证券名称</v>
      </c>
      <c r="D1" s="1" t="str">
        <f>"业务名称"</f>
        <v>业务名称</v>
      </c>
      <c r="E1" s="1" t="str">
        <f>"成交价格"</f>
        <v>成交价格</v>
      </c>
      <c r="F1" s="1" t="str">
        <f>"成交数量"</f>
        <v>成交数量</v>
      </c>
      <c r="G1" s="1" t="str">
        <f>"成交金额"</f>
        <v>成交金额</v>
      </c>
      <c r="H1" s="1" t="str">
        <f>"手续费"</f>
        <v>手续费</v>
      </c>
      <c r="I1" s="1" t="str">
        <f>"净佣金"</f>
        <v>净佣金</v>
      </c>
      <c r="J1" s="1" t="str">
        <f>"印花税"</f>
        <v>印花税</v>
      </c>
      <c r="K1" s="1" t="str">
        <f>"过户费"</f>
        <v>过户费</v>
      </c>
      <c r="L1" s="1" t="str">
        <f>"结算费"</f>
        <v>结算费</v>
      </c>
      <c r="M1" s="1" t="str">
        <f>"其他费"</f>
        <v>其他费</v>
      </c>
      <c r="N1" s="1" t="str">
        <f>"发生金额"</f>
        <v>发生金额</v>
      </c>
      <c r="O1" s="1" t="str">
        <f>"剩余金额"</f>
        <v>剩余金额</v>
      </c>
      <c r="P1" s="1" t="str">
        <f>"证券数量"</f>
        <v>证券数量</v>
      </c>
      <c r="Q1" s="1" t="str">
        <f>"股东代码"</f>
        <v>股东代码</v>
      </c>
      <c r="R1" s="1" t="str">
        <f>"币种"</f>
        <v>币种</v>
      </c>
      <c r="S1" s="1" t="str">
        <f>"成交编号"</f>
        <v>成交编号</v>
      </c>
    </row>
    <row r="2" spans="1:18">
      <c r="A2" s="1" t="str">
        <f>"20211008"</f>
        <v>20211008</v>
      </c>
      <c r="B2" s="1" t="str">
        <f>"000543"</f>
        <v>000543</v>
      </c>
      <c r="C2" s="1" t="str">
        <f>"皖能电力"</f>
        <v>皖能电力</v>
      </c>
      <c r="D2" s="1" t="str">
        <f>"股息红利差异扣税"</f>
        <v>股息红利差异扣税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-22.8</v>
      </c>
      <c r="O2" s="1">
        <v>523.51</v>
      </c>
      <c r="P2" s="1">
        <v>0</v>
      </c>
      <c r="Q2" s="1" t="str">
        <f>"0602175409"</f>
        <v>0602175409</v>
      </c>
      <c r="R2" s="1" t="str">
        <f t="shared" ref="R2:R65" si="0">"人民币"</f>
        <v>人民币</v>
      </c>
    </row>
    <row r="3" spans="1:19">
      <c r="A3" s="1" t="str">
        <f>"20211008"</f>
        <v>20211008</v>
      </c>
      <c r="B3" s="1" t="str">
        <f>"000543"</f>
        <v>000543</v>
      </c>
      <c r="C3" s="1" t="str">
        <f>"皖能电力"</f>
        <v>皖能电力</v>
      </c>
      <c r="D3" s="1" t="str">
        <f>"融资买入"</f>
        <v>融资买入</v>
      </c>
      <c r="E3" s="1">
        <v>4.32</v>
      </c>
      <c r="F3" s="1">
        <v>3000</v>
      </c>
      <c r="G3" s="1">
        <v>12960</v>
      </c>
      <c r="H3" s="1">
        <v>5</v>
      </c>
      <c r="I3" s="1">
        <v>3.85</v>
      </c>
      <c r="J3" s="1">
        <v>0</v>
      </c>
      <c r="K3" s="1">
        <v>0</v>
      </c>
      <c r="L3" s="1">
        <v>0</v>
      </c>
      <c r="M3" s="1">
        <v>0</v>
      </c>
      <c r="N3" s="1">
        <v>-12965</v>
      </c>
      <c r="O3" s="1">
        <v>-12441.49</v>
      </c>
      <c r="P3" s="1">
        <v>30000</v>
      </c>
      <c r="Q3" s="1" t="str">
        <f>"0602175409"</f>
        <v>0602175409</v>
      </c>
      <c r="R3" s="1" t="str">
        <f t="shared" si="0"/>
        <v>人民币</v>
      </c>
      <c r="S3" s="1" t="str">
        <f>"T4000028"</f>
        <v>T4000028</v>
      </c>
    </row>
    <row r="4" spans="1:19">
      <c r="A4" s="1" t="str">
        <f>"20211008"</f>
        <v>20211008</v>
      </c>
      <c r="D4" s="1" t="str">
        <f>"融资借入"</f>
        <v>融资借入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12965</v>
      </c>
      <c r="O4" s="1">
        <v>523.51</v>
      </c>
      <c r="P4" s="1">
        <v>0</v>
      </c>
      <c r="R4" s="1" t="str">
        <f t="shared" si="0"/>
        <v>人民币</v>
      </c>
      <c r="S4" s="1" t="str">
        <f>"T4000028"</f>
        <v>T4000028</v>
      </c>
    </row>
    <row r="5" spans="1:19">
      <c r="A5" s="1" t="str">
        <f t="shared" ref="A5:A11" si="1">"20211011"</f>
        <v>20211011</v>
      </c>
      <c r="B5" s="1" t="str">
        <f>"000543"</f>
        <v>000543</v>
      </c>
      <c r="C5" s="1" t="str">
        <f>"皖能电力"</f>
        <v>皖能电力</v>
      </c>
      <c r="D5" s="1" t="str">
        <f>"卖券还款"</f>
        <v>卖券还款</v>
      </c>
      <c r="E5" s="1">
        <v>4.69</v>
      </c>
      <c r="F5" s="1">
        <v>3000</v>
      </c>
      <c r="G5" s="1">
        <v>14070</v>
      </c>
      <c r="H5" s="1">
        <v>5</v>
      </c>
      <c r="I5" s="1">
        <v>3.75</v>
      </c>
      <c r="J5" s="1">
        <v>14.07</v>
      </c>
      <c r="K5" s="1">
        <v>0</v>
      </c>
      <c r="L5" s="1">
        <v>0</v>
      </c>
      <c r="M5" s="1">
        <v>0</v>
      </c>
      <c r="N5" s="1">
        <v>14050.93</v>
      </c>
      <c r="O5" s="1">
        <v>14574.44</v>
      </c>
      <c r="P5" s="1">
        <v>27000</v>
      </c>
      <c r="Q5" s="1" t="str">
        <f>"0602175409"</f>
        <v>0602175409</v>
      </c>
      <c r="R5" s="1" t="str">
        <f t="shared" si="0"/>
        <v>人民币</v>
      </c>
      <c r="S5" s="1" t="str">
        <f t="shared" ref="S5:S11" si="2">"T4000259"</f>
        <v>T4000259</v>
      </c>
    </row>
    <row r="6" spans="1:18">
      <c r="A6" s="1" t="str">
        <f t="shared" si="1"/>
        <v>20211011</v>
      </c>
      <c r="D6" s="1" t="str">
        <f t="shared" ref="D6:D11" si="3">"偿还融资负债本金"</f>
        <v>偿还融资负债本金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-100</v>
      </c>
      <c r="O6" s="1">
        <v>14474.44</v>
      </c>
      <c r="P6" s="1">
        <v>0</v>
      </c>
      <c r="R6" s="1" t="str">
        <f t="shared" si="0"/>
        <v>人民币</v>
      </c>
    </row>
    <row r="7" spans="1:19">
      <c r="A7" s="1" t="str">
        <f t="shared" si="1"/>
        <v>20211011</v>
      </c>
      <c r="D7" s="1" t="str">
        <f>"偿还融券费用"</f>
        <v>偿还融券费用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-15.17</v>
      </c>
      <c r="O7" s="1">
        <v>14459.27</v>
      </c>
      <c r="P7" s="1">
        <v>0</v>
      </c>
      <c r="R7" s="1" t="str">
        <f t="shared" si="0"/>
        <v>人民币</v>
      </c>
      <c r="S7" s="1" t="str">
        <f t="shared" si="2"/>
        <v>T4000259</v>
      </c>
    </row>
    <row r="8" spans="1:19">
      <c r="A8" s="1" t="str">
        <f t="shared" si="1"/>
        <v>20211011</v>
      </c>
      <c r="D8" s="1" t="str">
        <f>"偿还融资利息"</f>
        <v>偿还融资利息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-27.84</v>
      </c>
      <c r="O8" s="1">
        <v>14431.43</v>
      </c>
      <c r="P8" s="1">
        <v>0</v>
      </c>
      <c r="R8" s="1" t="str">
        <f t="shared" si="0"/>
        <v>人民币</v>
      </c>
      <c r="S8" s="1" t="str">
        <f t="shared" si="2"/>
        <v>T4000259</v>
      </c>
    </row>
    <row r="9" spans="1:19">
      <c r="A9" s="1" t="str">
        <f t="shared" si="1"/>
        <v>20211011</v>
      </c>
      <c r="D9" s="1" t="str">
        <f t="shared" si="3"/>
        <v>偿还融资负债本金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-10912.83</v>
      </c>
      <c r="O9" s="1">
        <v>3518.6</v>
      </c>
      <c r="P9" s="1">
        <v>0</v>
      </c>
      <c r="R9" s="1" t="str">
        <f t="shared" si="0"/>
        <v>人民币</v>
      </c>
      <c r="S9" s="1" t="str">
        <f t="shared" si="2"/>
        <v>T4000259</v>
      </c>
    </row>
    <row r="10" spans="1:19">
      <c r="A10" s="1" t="str">
        <f t="shared" si="1"/>
        <v>20211011</v>
      </c>
      <c r="D10" s="1" t="str">
        <f>"偿还融资利息"</f>
        <v>偿还融资利息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-77.78</v>
      </c>
      <c r="O10" s="1">
        <v>3440.82</v>
      </c>
      <c r="P10" s="1">
        <v>0</v>
      </c>
      <c r="R10" s="1" t="str">
        <f t="shared" si="0"/>
        <v>人民币</v>
      </c>
      <c r="S10" s="1" t="str">
        <f t="shared" si="2"/>
        <v>T4000259</v>
      </c>
    </row>
    <row r="11" spans="1:19">
      <c r="A11" s="1" t="str">
        <f t="shared" si="1"/>
        <v>20211011</v>
      </c>
      <c r="D11" s="1" t="str">
        <f t="shared" si="3"/>
        <v>偿还融资负债本金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-2980.1</v>
      </c>
      <c r="O11" s="1">
        <v>460.72</v>
      </c>
      <c r="P11" s="1">
        <v>0</v>
      </c>
      <c r="R11" s="1" t="str">
        <f t="shared" si="0"/>
        <v>人民币</v>
      </c>
      <c r="S11" s="1" t="str">
        <f t="shared" si="2"/>
        <v>T4000259</v>
      </c>
    </row>
    <row r="12" spans="1:18">
      <c r="A12" s="1" t="str">
        <f t="shared" ref="A12:A16" si="4">"20211012"</f>
        <v>20211012</v>
      </c>
      <c r="B12" s="1" t="str">
        <f t="shared" ref="B12:B14" si="5">"000543"</f>
        <v>000543</v>
      </c>
      <c r="C12" s="1" t="str">
        <f t="shared" ref="C12:C14" si="6">"皖能电力"</f>
        <v>皖能电力</v>
      </c>
      <c r="D12" s="1" t="str">
        <f>"股息红利差异扣税"</f>
        <v>股息红利差异扣税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-22.8</v>
      </c>
      <c r="O12" s="1">
        <v>437.92</v>
      </c>
      <c r="P12" s="1">
        <v>0</v>
      </c>
      <c r="Q12" s="1" t="str">
        <f t="shared" ref="Q12:Q14" si="7">"0602175409"</f>
        <v>0602175409</v>
      </c>
      <c r="R12" s="1" t="str">
        <f t="shared" si="0"/>
        <v>人民币</v>
      </c>
    </row>
    <row r="13" spans="1:19">
      <c r="A13" s="1" t="str">
        <f t="shared" si="4"/>
        <v>20211012</v>
      </c>
      <c r="B13" s="1" t="str">
        <f t="shared" si="5"/>
        <v>000543</v>
      </c>
      <c r="C13" s="1" t="str">
        <f t="shared" si="6"/>
        <v>皖能电力</v>
      </c>
      <c r="D13" s="1" t="str">
        <f t="shared" ref="D13:D17" si="8">"融资买入"</f>
        <v>融资买入</v>
      </c>
      <c r="E13" s="1">
        <v>4.4</v>
      </c>
      <c r="F13" s="1">
        <v>3000</v>
      </c>
      <c r="G13" s="1">
        <v>13200</v>
      </c>
      <c r="H13" s="1">
        <v>5</v>
      </c>
      <c r="I13" s="1">
        <v>3.84</v>
      </c>
      <c r="J13" s="1">
        <v>0</v>
      </c>
      <c r="K13" s="1">
        <v>0</v>
      </c>
      <c r="L13" s="1">
        <v>0</v>
      </c>
      <c r="M13" s="1">
        <v>0</v>
      </c>
      <c r="N13" s="1">
        <v>-13205</v>
      </c>
      <c r="O13" s="1">
        <v>-12767.08</v>
      </c>
      <c r="P13" s="1">
        <v>30000</v>
      </c>
      <c r="Q13" s="1" t="str">
        <f t="shared" si="7"/>
        <v>0602175409</v>
      </c>
      <c r="R13" s="1" t="str">
        <f t="shared" si="0"/>
        <v>人民币</v>
      </c>
      <c r="S13" s="1" t="str">
        <f>"T4000057"</f>
        <v>T4000057</v>
      </c>
    </row>
    <row r="14" spans="1:19">
      <c r="A14" s="1" t="str">
        <f t="shared" si="4"/>
        <v>20211012</v>
      </c>
      <c r="B14" s="1" t="str">
        <f t="shared" si="5"/>
        <v>000543</v>
      </c>
      <c r="C14" s="1" t="str">
        <f t="shared" si="6"/>
        <v>皖能电力</v>
      </c>
      <c r="D14" s="1" t="str">
        <f t="shared" si="8"/>
        <v>融资买入</v>
      </c>
      <c r="E14" s="1">
        <v>4.29</v>
      </c>
      <c r="F14" s="1">
        <v>3000</v>
      </c>
      <c r="G14" s="1">
        <v>12870</v>
      </c>
      <c r="H14" s="1">
        <v>5</v>
      </c>
      <c r="I14" s="1">
        <v>3.85</v>
      </c>
      <c r="J14" s="1">
        <v>0</v>
      </c>
      <c r="K14" s="1">
        <v>0</v>
      </c>
      <c r="L14" s="1">
        <v>0</v>
      </c>
      <c r="M14" s="1">
        <v>0</v>
      </c>
      <c r="N14" s="1">
        <v>-12875</v>
      </c>
      <c r="O14" s="1">
        <v>-25642.08</v>
      </c>
      <c r="P14" s="1">
        <v>33000</v>
      </c>
      <c r="Q14" s="1" t="str">
        <f t="shared" si="7"/>
        <v>0602175409</v>
      </c>
      <c r="R14" s="1" t="str">
        <f t="shared" si="0"/>
        <v>人民币</v>
      </c>
      <c r="S14" s="1" t="str">
        <f>"T4000711"</f>
        <v>T4000711</v>
      </c>
    </row>
    <row r="15" spans="1:19">
      <c r="A15" s="1" t="str">
        <f t="shared" si="4"/>
        <v>20211012</v>
      </c>
      <c r="D15" s="1" t="str">
        <f t="shared" ref="D15:D18" si="9">"融资借入"</f>
        <v>融资借入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13205</v>
      </c>
      <c r="O15" s="1">
        <v>-12437.08</v>
      </c>
      <c r="P15" s="1">
        <v>0</v>
      </c>
      <c r="R15" s="1" t="str">
        <f t="shared" si="0"/>
        <v>人民币</v>
      </c>
      <c r="S15" s="1" t="str">
        <f>"T4000057"</f>
        <v>T4000057</v>
      </c>
    </row>
    <row r="16" spans="1:19">
      <c r="A16" s="1" t="str">
        <f t="shared" si="4"/>
        <v>20211012</v>
      </c>
      <c r="D16" s="1" t="str">
        <f t="shared" si="9"/>
        <v>融资借入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12875</v>
      </c>
      <c r="O16" s="1">
        <v>437.92</v>
      </c>
      <c r="P16" s="1">
        <v>0</v>
      </c>
      <c r="R16" s="1" t="str">
        <f t="shared" si="0"/>
        <v>人民币</v>
      </c>
      <c r="S16" s="1" t="str">
        <f>"T4000711"</f>
        <v>T4000711</v>
      </c>
    </row>
    <row r="17" spans="1:19">
      <c r="A17" s="1" t="str">
        <f>"20211013"</f>
        <v>20211013</v>
      </c>
      <c r="B17" s="1" t="str">
        <f t="shared" ref="B17:B21" si="10">"000543"</f>
        <v>000543</v>
      </c>
      <c r="C17" s="1" t="str">
        <f t="shared" ref="C17:C21" si="11">"皖能电力"</f>
        <v>皖能电力</v>
      </c>
      <c r="D17" s="1" t="str">
        <f t="shared" si="8"/>
        <v>融资买入</v>
      </c>
      <c r="E17" s="1">
        <v>4.09</v>
      </c>
      <c r="F17" s="1">
        <v>3000</v>
      </c>
      <c r="G17" s="1">
        <v>12270</v>
      </c>
      <c r="H17" s="1">
        <v>5</v>
      </c>
      <c r="I17" s="1">
        <v>3.91</v>
      </c>
      <c r="J17" s="1">
        <v>0</v>
      </c>
      <c r="K17" s="1">
        <v>0</v>
      </c>
      <c r="L17" s="1">
        <v>0</v>
      </c>
      <c r="M17" s="1">
        <v>0</v>
      </c>
      <c r="N17" s="1">
        <v>-12275</v>
      </c>
      <c r="O17" s="1">
        <v>-11837.08</v>
      </c>
      <c r="P17" s="1">
        <v>36000</v>
      </c>
      <c r="Q17" s="1" t="str">
        <f t="shared" ref="Q17:Q21" si="12">"0602175409"</f>
        <v>0602175409</v>
      </c>
      <c r="R17" s="1" t="str">
        <f t="shared" si="0"/>
        <v>人民币</v>
      </c>
      <c r="S17" s="1" t="str">
        <f>"T4000017"</f>
        <v>T4000017</v>
      </c>
    </row>
    <row r="18" spans="1:19">
      <c r="A18" s="1" t="str">
        <f>"20211013"</f>
        <v>20211013</v>
      </c>
      <c r="D18" s="1" t="str">
        <f t="shared" si="9"/>
        <v>融资借入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12275</v>
      </c>
      <c r="O18" s="1">
        <v>437.92</v>
      </c>
      <c r="P18" s="1">
        <v>0</v>
      </c>
      <c r="R18" s="1" t="str">
        <f t="shared" si="0"/>
        <v>人民币</v>
      </c>
      <c r="S18" s="1" t="str">
        <f>"T4000017"</f>
        <v>T4000017</v>
      </c>
    </row>
    <row r="19" spans="1:19">
      <c r="A19" s="1" t="str">
        <f>"20211015"</f>
        <v>20211015</v>
      </c>
      <c r="B19" s="1" t="str">
        <f t="shared" si="10"/>
        <v>000543</v>
      </c>
      <c r="C19" s="1" t="str">
        <f t="shared" si="11"/>
        <v>皖能电力</v>
      </c>
      <c r="D19" s="1" t="str">
        <f>"融资买入"</f>
        <v>融资买入</v>
      </c>
      <c r="E19" s="1">
        <v>3.81</v>
      </c>
      <c r="F19" s="1">
        <v>3000</v>
      </c>
      <c r="G19" s="1">
        <v>11430</v>
      </c>
      <c r="H19" s="1">
        <v>5</v>
      </c>
      <c r="I19" s="1">
        <v>3.98</v>
      </c>
      <c r="J19" s="1">
        <v>0</v>
      </c>
      <c r="K19" s="1">
        <v>0</v>
      </c>
      <c r="L19" s="1">
        <v>0</v>
      </c>
      <c r="M19" s="1">
        <v>0</v>
      </c>
      <c r="N19" s="1">
        <v>-11435</v>
      </c>
      <c r="O19" s="1">
        <v>-10997.08</v>
      </c>
      <c r="P19" s="1">
        <v>39000</v>
      </c>
      <c r="Q19" s="1" t="str">
        <f t="shared" si="12"/>
        <v>0602175409</v>
      </c>
      <c r="R19" s="1" t="str">
        <f t="shared" si="0"/>
        <v>人民币</v>
      </c>
      <c r="S19" s="1" t="str">
        <f>"T4000023"</f>
        <v>T4000023</v>
      </c>
    </row>
    <row r="20" spans="1:19">
      <c r="A20" s="1" t="str">
        <f>"20211015"</f>
        <v>20211015</v>
      </c>
      <c r="D20" s="1" t="str">
        <f>"融资借入"</f>
        <v>融资借入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11435</v>
      </c>
      <c r="O20" s="1">
        <v>437.92</v>
      </c>
      <c r="P20" s="1">
        <v>0</v>
      </c>
      <c r="R20" s="1" t="str">
        <f t="shared" si="0"/>
        <v>人民币</v>
      </c>
      <c r="S20" s="1" t="str">
        <f>"T4000023"</f>
        <v>T4000023</v>
      </c>
    </row>
    <row r="21" spans="1:19">
      <c r="A21" s="1" t="str">
        <f t="shared" ref="A21:A29" si="13">"20211020"</f>
        <v>20211020</v>
      </c>
      <c r="B21" s="1" t="str">
        <f t="shared" si="10"/>
        <v>000543</v>
      </c>
      <c r="C21" s="1" t="str">
        <f t="shared" si="11"/>
        <v>皖能电力</v>
      </c>
      <c r="D21" s="1" t="str">
        <f>"卖券还款"</f>
        <v>卖券还款</v>
      </c>
      <c r="E21" s="1">
        <v>4</v>
      </c>
      <c r="F21" s="1">
        <v>3000</v>
      </c>
      <c r="G21" s="1">
        <v>12000</v>
      </c>
      <c r="H21" s="1">
        <v>5</v>
      </c>
      <c r="I21" s="1">
        <v>3.94</v>
      </c>
      <c r="J21" s="1">
        <v>12</v>
      </c>
      <c r="K21" s="1">
        <v>0</v>
      </c>
      <c r="L21" s="1">
        <v>0</v>
      </c>
      <c r="M21" s="1">
        <v>0</v>
      </c>
      <c r="N21" s="1">
        <v>11983</v>
      </c>
      <c r="O21" s="1">
        <v>12420.92</v>
      </c>
      <c r="P21" s="1">
        <v>36000</v>
      </c>
      <c r="Q21" s="1" t="str">
        <f t="shared" si="12"/>
        <v>0602175409</v>
      </c>
      <c r="R21" s="1" t="str">
        <f t="shared" si="0"/>
        <v>人民币</v>
      </c>
      <c r="S21" s="1" t="str">
        <f t="shared" ref="S21:S26" si="14">"T4000009"</f>
        <v>T4000009</v>
      </c>
    </row>
    <row r="22" spans="1:19">
      <c r="A22" s="1" t="str">
        <f t="shared" si="13"/>
        <v>20211020</v>
      </c>
      <c r="D22" s="1" t="str">
        <f>"偿还融券费用"</f>
        <v>偿还融券费用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-12.5</v>
      </c>
      <c r="O22" s="1">
        <v>12408.42</v>
      </c>
      <c r="P22" s="1">
        <v>0</v>
      </c>
      <c r="R22" s="1" t="str">
        <f t="shared" si="0"/>
        <v>人民币</v>
      </c>
      <c r="S22" s="1" t="str">
        <f t="shared" si="14"/>
        <v>T4000009</v>
      </c>
    </row>
    <row r="23" spans="1:19">
      <c r="A23" s="1" t="str">
        <f t="shared" si="13"/>
        <v>20211020</v>
      </c>
      <c r="D23" s="1" t="str">
        <f t="shared" ref="D23:D29" si="15">"偿还融资利息"</f>
        <v>偿还融资利息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-19.52</v>
      </c>
      <c r="O23" s="1">
        <v>12388.9</v>
      </c>
      <c r="P23" s="1">
        <v>0</v>
      </c>
      <c r="R23" s="1" t="str">
        <f t="shared" si="0"/>
        <v>人民币</v>
      </c>
      <c r="S23" s="1" t="str">
        <f t="shared" si="14"/>
        <v>T4000009</v>
      </c>
    </row>
    <row r="24" spans="1:19">
      <c r="A24" s="1" t="str">
        <f t="shared" si="13"/>
        <v>20211020</v>
      </c>
      <c r="D24" s="1" t="str">
        <f>"偿还融资负债本金"</f>
        <v>偿还融资负债本金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-9344.9</v>
      </c>
      <c r="O24" s="1">
        <v>3044</v>
      </c>
      <c r="P24" s="1">
        <v>0</v>
      </c>
      <c r="R24" s="1" t="str">
        <f t="shared" si="0"/>
        <v>人民币</v>
      </c>
      <c r="S24" s="1" t="str">
        <f t="shared" si="14"/>
        <v>T4000009</v>
      </c>
    </row>
    <row r="25" spans="1:19">
      <c r="A25" s="1" t="str">
        <f t="shared" si="13"/>
        <v>20211020</v>
      </c>
      <c r="D25" s="1" t="str">
        <f t="shared" si="15"/>
        <v>偿还融资利息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-89.41</v>
      </c>
      <c r="O25" s="1">
        <v>2954.59</v>
      </c>
      <c r="P25" s="1">
        <v>0</v>
      </c>
      <c r="R25" s="1" t="str">
        <f t="shared" si="0"/>
        <v>人民币</v>
      </c>
      <c r="S25" s="1" t="str">
        <f t="shared" si="14"/>
        <v>T4000009</v>
      </c>
    </row>
    <row r="26" spans="1:19">
      <c r="A26" s="1" t="str">
        <f t="shared" si="13"/>
        <v>20211020</v>
      </c>
      <c r="D26" s="1" t="str">
        <f>"偿还融资负债本金"</f>
        <v>偿还融资负债本金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-2485.67</v>
      </c>
      <c r="O26" s="1">
        <v>468.92</v>
      </c>
      <c r="P26" s="1">
        <v>0</v>
      </c>
      <c r="R26" s="1" t="str">
        <f t="shared" si="0"/>
        <v>人民币</v>
      </c>
      <c r="S26" s="1" t="str">
        <f t="shared" si="14"/>
        <v>T4000009</v>
      </c>
    </row>
    <row r="27" spans="1:18">
      <c r="A27" s="1" t="str">
        <f t="shared" si="13"/>
        <v>20211020</v>
      </c>
      <c r="D27" s="1" t="str">
        <f>"偿还融券费用"</f>
        <v>偿还融券费用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-1.39</v>
      </c>
      <c r="O27" s="1">
        <v>467.53</v>
      </c>
      <c r="P27" s="1">
        <v>0</v>
      </c>
      <c r="R27" s="1" t="str">
        <f t="shared" si="0"/>
        <v>人民币</v>
      </c>
    </row>
    <row r="28" spans="1:18">
      <c r="A28" s="1" t="str">
        <f t="shared" si="13"/>
        <v>20211020</v>
      </c>
      <c r="D28" s="1" t="str">
        <f t="shared" si="15"/>
        <v>偿还融资利息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-2.05</v>
      </c>
      <c r="O28" s="1">
        <v>465.48</v>
      </c>
      <c r="P28" s="1">
        <v>0</v>
      </c>
      <c r="R28" s="1" t="str">
        <f t="shared" si="0"/>
        <v>人民币</v>
      </c>
    </row>
    <row r="29" spans="1:18">
      <c r="A29" s="1" t="str">
        <f t="shared" si="13"/>
        <v>20211020</v>
      </c>
      <c r="D29" s="1" t="str">
        <f t="shared" si="15"/>
        <v>偿还融资利息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-54.72</v>
      </c>
      <c r="O29" s="1">
        <v>410.76</v>
      </c>
      <c r="P29" s="1">
        <v>0</v>
      </c>
      <c r="R29" s="1" t="str">
        <f t="shared" si="0"/>
        <v>人民币</v>
      </c>
    </row>
    <row r="30" spans="1:19">
      <c r="A30" s="1" t="str">
        <f t="shared" ref="A30:A39" si="16">"20211028"</f>
        <v>20211028</v>
      </c>
      <c r="B30" s="1" t="str">
        <f>"000543"</f>
        <v>000543</v>
      </c>
      <c r="C30" s="1" t="str">
        <f>"皖能电力"</f>
        <v>皖能电力</v>
      </c>
      <c r="D30" s="1" t="str">
        <f>"卖券还款"</f>
        <v>卖券还款</v>
      </c>
      <c r="E30" s="1">
        <v>4.2</v>
      </c>
      <c r="F30" s="1">
        <v>3000</v>
      </c>
      <c r="G30" s="1">
        <v>12600</v>
      </c>
      <c r="H30" s="1">
        <v>5</v>
      </c>
      <c r="I30" s="1">
        <v>3.89</v>
      </c>
      <c r="J30" s="1">
        <v>12.6</v>
      </c>
      <c r="K30" s="1">
        <v>0</v>
      </c>
      <c r="L30" s="1">
        <v>0</v>
      </c>
      <c r="M30" s="1">
        <v>0</v>
      </c>
      <c r="N30" s="1">
        <v>12582.4</v>
      </c>
      <c r="O30" s="1">
        <v>12993.16</v>
      </c>
      <c r="P30" s="1">
        <v>33000</v>
      </c>
      <c r="Q30" s="1" t="str">
        <f>"0602175409"</f>
        <v>0602175409</v>
      </c>
      <c r="R30" s="1" t="str">
        <f t="shared" si="0"/>
        <v>人民币</v>
      </c>
      <c r="S30" s="1" t="str">
        <f t="shared" ref="S30:S36" si="17">"T4000039"</f>
        <v>T4000039</v>
      </c>
    </row>
    <row r="31" spans="1:19">
      <c r="A31" s="1" t="str">
        <f t="shared" si="16"/>
        <v>20211028</v>
      </c>
      <c r="B31" s="1" t="str">
        <f>"000543"</f>
        <v>000543</v>
      </c>
      <c r="C31" s="1" t="str">
        <f>"皖能电力"</f>
        <v>皖能电力</v>
      </c>
      <c r="D31" s="1" t="str">
        <f>"卖券还款"</f>
        <v>卖券还款</v>
      </c>
      <c r="E31" s="1">
        <v>4.41</v>
      </c>
      <c r="F31" s="1">
        <v>3000</v>
      </c>
      <c r="G31" s="1">
        <v>13230</v>
      </c>
      <c r="H31" s="1">
        <v>5</v>
      </c>
      <c r="I31" s="1">
        <v>3.84</v>
      </c>
      <c r="J31" s="1">
        <v>13.23</v>
      </c>
      <c r="K31" s="1">
        <v>0</v>
      </c>
      <c r="L31" s="1">
        <v>0</v>
      </c>
      <c r="M31" s="1">
        <v>0</v>
      </c>
      <c r="N31" s="1">
        <v>13211.77</v>
      </c>
      <c r="O31" s="1">
        <v>26204.93</v>
      </c>
      <c r="P31" s="1">
        <v>30000</v>
      </c>
      <c r="Q31" s="1" t="str">
        <f>"0602175409"</f>
        <v>0602175409</v>
      </c>
      <c r="R31" s="1" t="str">
        <f t="shared" si="0"/>
        <v>人民币</v>
      </c>
      <c r="S31" s="1" t="str">
        <f>"T4000073"</f>
        <v>T4000073</v>
      </c>
    </row>
    <row r="32" spans="1:19">
      <c r="A32" s="1" t="str">
        <f t="shared" si="16"/>
        <v>20211028</v>
      </c>
      <c r="D32" s="1" t="str">
        <f>"偿还融券费用"</f>
        <v>偿还融券费用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-9.78</v>
      </c>
      <c r="O32" s="1">
        <v>26195.15</v>
      </c>
      <c r="P32" s="1">
        <v>0</v>
      </c>
      <c r="R32" s="1" t="str">
        <f t="shared" si="0"/>
        <v>人民币</v>
      </c>
      <c r="S32" s="1" t="str">
        <f t="shared" si="17"/>
        <v>T4000039</v>
      </c>
    </row>
    <row r="33" spans="1:19">
      <c r="A33" s="1" t="str">
        <f t="shared" si="16"/>
        <v>20211028</v>
      </c>
      <c r="D33" s="1" t="str">
        <f t="shared" ref="D33:D38" si="18">"偿还融资利息"</f>
        <v>偿还融资利息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-14.36</v>
      </c>
      <c r="O33" s="1">
        <v>26180.79</v>
      </c>
      <c r="P33" s="1">
        <v>0</v>
      </c>
      <c r="R33" s="1" t="str">
        <f t="shared" si="0"/>
        <v>人民币</v>
      </c>
      <c r="S33" s="1" t="str">
        <f t="shared" si="17"/>
        <v>T4000039</v>
      </c>
    </row>
    <row r="34" spans="1:19">
      <c r="A34" s="1" t="str">
        <f t="shared" si="16"/>
        <v>20211028</v>
      </c>
      <c r="D34" s="1" t="str">
        <f t="shared" ref="D34:D37" si="19">"偿还融资负债本金"</f>
        <v>偿还融资负债本金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-8849.56</v>
      </c>
      <c r="O34" s="1">
        <v>17331.23</v>
      </c>
      <c r="P34" s="1">
        <v>0</v>
      </c>
      <c r="R34" s="1" t="str">
        <f t="shared" si="0"/>
        <v>人民币</v>
      </c>
      <c r="S34" s="1" t="str">
        <f t="shared" si="17"/>
        <v>T4000039</v>
      </c>
    </row>
    <row r="35" spans="1:19">
      <c r="A35" s="1" t="str">
        <f t="shared" si="16"/>
        <v>20211028</v>
      </c>
      <c r="D35" s="1" t="str">
        <f t="shared" si="18"/>
        <v>偿还融资利息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-34.31</v>
      </c>
      <c r="O35" s="1">
        <v>17296.92</v>
      </c>
      <c r="P35" s="1">
        <v>0</v>
      </c>
      <c r="R35" s="1" t="str">
        <f t="shared" si="0"/>
        <v>人民币</v>
      </c>
      <c r="S35" s="1" t="str">
        <f t="shared" si="17"/>
        <v>T4000039</v>
      </c>
    </row>
    <row r="36" spans="1:19">
      <c r="A36" s="1" t="str">
        <f t="shared" si="16"/>
        <v>20211028</v>
      </c>
      <c r="D36" s="1" t="str">
        <f t="shared" si="19"/>
        <v>偿还融资负债本金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-3641.49</v>
      </c>
      <c r="O36" s="1">
        <v>13655.43</v>
      </c>
      <c r="P36" s="1">
        <v>0</v>
      </c>
      <c r="R36" s="1" t="str">
        <f t="shared" si="0"/>
        <v>人民币</v>
      </c>
      <c r="S36" s="1" t="str">
        <f t="shared" si="17"/>
        <v>T4000039</v>
      </c>
    </row>
    <row r="37" spans="1:19">
      <c r="A37" s="1" t="str">
        <f t="shared" si="16"/>
        <v>20211028</v>
      </c>
      <c r="D37" s="1" t="str">
        <f t="shared" si="19"/>
        <v>偿还融资负债本金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-8753.51</v>
      </c>
      <c r="O37" s="1">
        <v>4901.92</v>
      </c>
      <c r="P37" s="1">
        <v>0</v>
      </c>
      <c r="R37" s="1" t="str">
        <f t="shared" si="0"/>
        <v>人民币</v>
      </c>
      <c r="S37" s="1" t="str">
        <f t="shared" ref="S37:S39" si="20">"T4000073"</f>
        <v>T4000073</v>
      </c>
    </row>
    <row r="38" spans="1:19">
      <c r="A38" s="1" t="str">
        <f t="shared" si="16"/>
        <v>20211028</v>
      </c>
      <c r="D38" s="1" t="str">
        <f t="shared" si="18"/>
        <v>偿还融资利息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-84.34</v>
      </c>
      <c r="O38" s="1">
        <v>4817.58</v>
      </c>
      <c r="P38" s="1">
        <v>0</v>
      </c>
      <c r="R38" s="1" t="str">
        <f t="shared" si="0"/>
        <v>人民币</v>
      </c>
      <c r="S38" s="1" t="str">
        <f t="shared" si="20"/>
        <v>T4000073</v>
      </c>
    </row>
    <row r="39" spans="1:19">
      <c r="A39" s="1" t="str">
        <f t="shared" si="16"/>
        <v>20211028</v>
      </c>
      <c r="D39" s="1" t="str">
        <f>"偿还融资负债本金"</f>
        <v>偿还融资负债本金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-4339.23</v>
      </c>
      <c r="O39" s="1">
        <v>478.35</v>
      </c>
      <c r="P39" s="1">
        <v>0</v>
      </c>
      <c r="R39" s="1" t="str">
        <f t="shared" si="0"/>
        <v>人民币</v>
      </c>
      <c r="S39" s="1" t="str">
        <f t="shared" si="20"/>
        <v>T4000073</v>
      </c>
    </row>
    <row r="40" spans="1:18">
      <c r="A40" s="1" t="str">
        <f>"20211029"</f>
        <v>20211029</v>
      </c>
      <c r="B40" s="1" t="str">
        <f t="shared" ref="B40:B43" si="21">"000543"</f>
        <v>000543</v>
      </c>
      <c r="C40" s="1" t="str">
        <f t="shared" ref="C40:C43" si="22">"皖能电力"</f>
        <v>皖能电力</v>
      </c>
      <c r="D40" s="1" t="str">
        <f>"股息红利差异扣税"</f>
        <v>股息红利差异扣税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-22.8</v>
      </c>
      <c r="O40" s="1">
        <v>455.55</v>
      </c>
      <c r="P40" s="1">
        <v>0</v>
      </c>
      <c r="Q40" s="1" t="str">
        <f t="shared" ref="Q40:Q43" si="23">"0602175409"</f>
        <v>0602175409</v>
      </c>
      <c r="R40" s="1" t="str">
        <f t="shared" si="0"/>
        <v>人民币</v>
      </c>
    </row>
    <row r="41" spans="1:19">
      <c r="A41" s="1" t="str">
        <f>"20211102"</f>
        <v>20211102</v>
      </c>
      <c r="B41" s="1" t="str">
        <f t="shared" si="21"/>
        <v>000543</v>
      </c>
      <c r="C41" s="1" t="str">
        <f t="shared" si="22"/>
        <v>皖能电力</v>
      </c>
      <c r="D41" s="1" t="str">
        <f t="shared" ref="D41:D45" si="24">"融资买入"</f>
        <v>融资买入</v>
      </c>
      <c r="E41" s="1">
        <v>4.19</v>
      </c>
      <c r="F41" s="1">
        <v>3000</v>
      </c>
      <c r="G41" s="1">
        <v>12570</v>
      </c>
      <c r="H41" s="1">
        <v>5</v>
      </c>
      <c r="I41" s="1">
        <v>3.89</v>
      </c>
      <c r="J41" s="1">
        <v>0</v>
      </c>
      <c r="K41" s="1">
        <v>0</v>
      </c>
      <c r="L41" s="1">
        <v>0</v>
      </c>
      <c r="M41" s="1">
        <v>0</v>
      </c>
      <c r="N41" s="1">
        <v>-12575</v>
      </c>
      <c r="O41" s="1">
        <v>-12119.45</v>
      </c>
      <c r="P41" s="1">
        <v>33000</v>
      </c>
      <c r="Q41" s="1" t="str">
        <f t="shared" si="23"/>
        <v>0602175409</v>
      </c>
      <c r="R41" s="1" t="str">
        <f t="shared" si="0"/>
        <v>人民币</v>
      </c>
      <c r="S41" s="1" t="str">
        <f>"T4000027"</f>
        <v>T4000027</v>
      </c>
    </row>
    <row r="42" spans="1:19">
      <c r="A42" s="1" t="str">
        <f>"20211102"</f>
        <v>20211102</v>
      </c>
      <c r="D42" s="1" t="str">
        <f t="shared" ref="D42:D46" si="25">"融资借入"</f>
        <v>融资借入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12575</v>
      </c>
      <c r="O42" s="1">
        <v>455.55</v>
      </c>
      <c r="P42" s="1">
        <v>0</v>
      </c>
      <c r="R42" s="1" t="str">
        <f t="shared" si="0"/>
        <v>人民币</v>
      </c>
      <c r="S42" s="1" t="str">
        <f>"T4000027"</f>
        <v>T4000027</v>
      </c>
    </row>
    <row r="43" spans="1:19">
      <c r="A43" s="1" t="str">
        <f>"20211105"</f>
        <v>20211105</v>
      </c>
      <c r="B43" s="1" t="str">
        <f t="shared" si="21"/>
        <v>000543</v>
      </c>
      <c r="C43" s="1" t="str">
        <f t="shared" si="22"/>
        <v>皖能电力</v>
      </c>
      <c r="D43" s="1" t="str">
        <f t="shared" si="24"/>
        <v>融资买入</v>
      </c>
      <c r="E43" s="1">
        <v>3.98</v>
      </c>
      <c r="F43" s="1">
        <v>3000</v>
      </c>
      <c r="G43" s="1">
        <v>11940</v>
      </c>
      <c r="H43" s="1">
        <v>5</v>
      </c>
      <c r="I43" s="1">
        <v>3.94</v>
      </c>
      <c r="J43" s="1">
        <v>0</v>
      </c>
      <c r="K43" s="1">
        <v>0</v>
      </c>
      <c r="L43" s="1">
        <v>0</v>
      </c>
      <c r="M43" s="1">
        <v>0</v>
      </c>
      <c r="N43" s="1">
        <v>-11945</v>
      </c>
      <c r="O43" s="1">
        <v>-11489.45</v>
      </c>
      <c r="P43" s="1">
        <v>36000</v>
      </c>
      <c r="Q43" s="1" t="str">
        <f t="shared" si="23"/>
        <v>0602175409</v>
      </c>
      <c r="R43" s="1" t="str">
        <f t="shared" si="0"/>
        <v>人民币</v>
      </c>
      <c r="S43" s="1" t="str">
        <f>"T4000018"</f>
        <v>T4000018</v>
      </c>
    </row>
    <row r="44" spans="1:19">
      <c r="A44" s="1" t="str">
        <f>"20211105"</f>
        <v>20211105</v>
      </c>
      <c r="D44" s="1" t="str">
        <f t="shared" si="25"/>
        <v>融资借入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11945</v>
      </c>
      <c r="O44" s="1">
        <v>455.55</v>
      </c>
      <c r="P44" s="1">
        <v>0</v>
      </c>
      <c r="R44" s="1" t="str">
        <f t="shared" si="0"/>
        <v>人民币</v>
      </c>
      <c r="S44" s="1" t="str">
        <f>"T4000018"</f>
        <v>T4000018</v>
      </c>
    </row>
    <row r="45" spans="1:19">
      <c r="A45" s="1" t="str">
        <f>"20211110"</f>
        <v>20211110</v>
      </c>
      <c r="B45" s="1" t="str">
        <f>"000543"</f>
        <v>000543</v>
      </c>
      <c r="C45" s="1" t="str">
        <f>"皖能电力"</f>
        <v>皖能电力</v>
      </c>
      <c r="D45" s="1" t="str">
        <f t="shared" si="24"/>
        <v>融资买入</v>
      </c>
      <c r="E45" s="1">
        <v>3.78</v>
      </c>
      <c r="F45" s="1">
        <v>3000</v>
      </c>
      <c r="G45" s="1">
        <v>11340</v>
      </c>
      <c r="H45" s="1">
        <v>5</v>
      </c>
      <c r="I45" s="1">
        <v>3.99</v>
      </c>
      <c r="J45" s="1">
        <v>0</v>
      </c>
      <c r="K45" s="1">
        <v>0</v>
      </c>
      <c r="L45" s="1">
        <v>0</v>
      </c>
      <c r="M45" s="1">
        <v>0</v>
      </c>
      <c r="N45" s="1">
        <v>-11345</v>
      </c>
      <c r="O45" s="1">
        <v>-10889.45</v>
      </c>
      <c r="P45" s="1">
        <v>39000</v>
      </c>
      <c r="Q45" s="1" t="str">
        <f>"0602175409"</f>
        <v>0602175409</v>
      </c>
      <c r="R45" s="1" t="str">
        <f t="shared" si="0"/>
        <v>人民币</v>
      </c>
      <c r="S45" s="1" t="str">
        <f>"T4000022"</f>
        <v>T4000022</v>
      </c>
    </row>
    <row r="46" spans="1:19">
      <c r="A46" s="1" t="str">
        <f>"20211110"</f>
        <v>20211110</v>
      </c>
      <c r="D46" s="1" t="str">
        <f t="shared" si="25"/>
        <v>融资借入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11345</v>
      </c>
      <c r="O46" s="1">
        <v>455.55</v>
      </c>
      <c r="P46" s="1">
        <v>0</v>
      </c>
      <c r="R46" s="1" t="str">
        <f t="shared" si="0"/>
        <v>人民币</v>
      </c>
      <c r="S46" s="1" t="str">
        <f>"T4000022"</f>
        <v>T4000022</v>
      </c>
    </row>
    <row r="47" spans="1:19">
      <c r="A47" s="1" t="str">
        <f>"20211117"</f>
        <v>20211117</v>
      </c>
      <c r="B47" s="1" t="str">
        <f t="shared" ref="B47:B52" si="26">"000543"</f>
        <v>000543</v>
      </c>
      <c r="C47" s="1" t="str">
        <f t="shared" ref="C47:C52" si="27">"皖能电力"</f>
        <v>皖能电力</v>
      </c>
      <c r="D47" s="1" t="str">
        <f>"融资买入"</f>
        <v>融资买入</v>
      </c>
      <c r="E47" s="1">
        <v>3.75</v>
      </c>
      <c r="F47" s="1">
        <v>5000</v>
      </c>
      <c r="G47" s="1">
        <v>18750</v>
      </c>
      <c r="H47" s="1">
        <v>5.63</v>
      </c>
      <c r="I47" s="1">
        <v>3.97</v>
      </c>
      <c r="J47" s="1">
        <v>0</v>
      </c>
      <c r="K47" s="1">
        <v>0</v>
      </c>
      <c r="L47" s="1">
        <v>0</v>
      </c>
      <c r="M47" s="1">
        <v>0</v>
      </c>
      <c r="N47" s="1">
        <v>-18755.63</v>
      </c>
      <c r="O47" s="1">
        <v>-18300.08</v>
      </c>
      <c r="P47" s="1">
        <v>44000</v>
      </c>
      <c r="Q47" s="1" t="str">
        <f t="shared" ref="Q47:Q52" si="28">"0602175409"</f>
        <v>0602175409</v>
      </c>
      <c r="R47" s="1" t="str">
        <f t="shared" si="0"/>
        <v>人民币</v>
      </c>
      <c r="S47" s="1" t="str">
        <f>"T4000577"</f>
        <v>T4000577</v>
      </c>
    </row>
    <row r="48" spans="1:19">
      <c r="A48" s="1" t="str">
        <f>"20211117"</f>
        <v>20211117</v>
      </c>
      <c r="D48" s="1" t="str">
        <f>"融资借入"</f>
        <v>融资借入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18755.63</v>
      </c>
      <c r="O48" s="1">
        <v>455.55</v>
      </c>
      <c r="P48" s="1">
        <v>0</v>
      </c>
      <c r="R48" s="1" t="str">
        <f t="shared" si="0"/>
        <v>人民币</v>
      </c>
      <c r="S48" s="1" t="str">
        <f>"T4000577"</f>
        <v>T4000577</v>
      </c>
    </row>
    <row r="49" spans="1:18">
      <c r="A49" s="1" t="str">
        <f>"20211119"</f>
        <v>20211119</v>
      </c>
      <c r="D49" s="1" t="str">
        <f>"偿还融券费用"</f>
        <v>偿还融券费用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-31.65</v>
      </c>
      <c r="O49" s="1">
        <v>423.9</v>
      </c>
      <c r="P49" s="1">
        <v>0</v>
      </c>
      <c r="R49" s="1" t="str">
        <f t="shared" si="0"/>
        <v>人民币</v>
      </c>
    </row>
    <row r="50" spans="1:18">
      <c r="A50" s="1" t="str">
        <f>"20211119"</f>
        <v>20211119</v>
      </c>
      <c r="D50" s="1" t="str">
        <f>"偿还融资利息"</f>
        <v>偿还融资利息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-13.14</v>
      </c>
      <c r="O50" s="1">
        <v>410.76</v>
      </c>
      <c r="P50" s="1">
        <v>0</v>
      </c>
      <c r="R50" s="1" t="str">
        <f t="shared" si="0"/>
        <v>人民币</v>
      </c>
    </row>
    <row r="51" spans="1:19">
      <c r="A51" s="1" t="str">
        <f t="shared" ref="A51:A58" si="29">"20211130"</f>
        <v>20211130</v>
      </c>
      <c r="B51" s="1" t="str">
        <f t="shared" si="26"/>
        <v>000543</v>
      </c>
      <c r="C51" s="1" t="str">
        <f t="shared" si="27"/>
        <v>皖能电力</v>
      </c>
      <c r="D51" s="1" t="str">
        <f>"卖券还款"</f>
        <v>卖券还款</v>
      </c>
      <c r="E51" s="1">
        <v>3.86</v>
      </c>
      <c r="F51" s="1">
        <v>5000</v>
      </c>
      <c r="G51" s="1">
        <v>19300</v>
      </c>
      <c r="H51" s="1">
        <v>5.79</v>
      </c>
      <c r="I51" s="1">
        <v>4.07</v>
      </c>
      <c r="J51" s="1">
        <v>19.3</v>
      </c>
      <c r="K51" s="1">
        <v>0</v>
      </c>
      <c r="L51" s="1">
        <v>0</v>
      </c>
      <c r="M51" s="1">
        <v>0</v>
      </c>
      <c r="N51" s="1">
        <v>19274.91</v>
      </c>
      <c r="O51" s="1">
        <v>19685.67</v>
      </c>
      <c r="P51" s="1">
        <v>39000</v>
      </c>
      <c r="Q51" s="1" t="str">
        <f t="shared" si="28"/>
        <v>0602175409</v>
      </c>
      <c r="R51" s="1" t="str">
        <f t="shared" si="0"/>
        <v>人民币</v>
      </c>
      <c r="S51" s="1" t="str">
        <f t="shared" ref="S51:S58" si="30">"T4000700"</f>
        <v>T4000700</v>
      </c>
    </row>
    <row r="52" spans="1:19">
      <c r="A52" s="1" t="str">
        <f t="shared" si="29"/>
        <v>20211130</v>
      </c>
      <c r="B52" s="1" t="str">
        <f t="shared" si="26"/>
        <v>000543</v>
      </c>
      <c r="C52" s="1" t="str">
        <f t="shared" si="27"/>
        <v>皖能电力</v>
      </c>
      <c r="D52" s="1" t="str">
        <f>"融资买入"</f>
        <v>融资买入</v>
      </c>
      <c r="E52" s="1">
        <v>3.82</v>
      </c>
      <c r="F52" s="1">
        <v>5000</v>
      </c>
      <c r="G52" s="1">
        <v>19100</v>
      </c>
      <c r="H52" s="1">
        <v>5.73</v>
      </c>
      <c r="I52" s="1">
        <v>4.04</v>
      </c>
      <c r="J52" s="1">
        <v>0</v>
      </c>
      <c r="K52" s="1">
        <v>0</v>
      </c>
      <c r="L52" s="1">
        <v>0</v>
      </c>
      <c r="M52" s="1">
        <v>0</v>
      </c>
      <c r="N52" s="1">
        <v>-19105.73</v>
      </c>
      <c r="O52" s="1">
        <v>579.94</v>
      </c>
      <c r="P52" s="1">
        <v>44000</v>
      </c>
      <c r="Q52" s="1" t="str">
        <f t="shared" si="28"/>
        <v>0602175409</v>
      </c>
      <c r="R52" s="1" t="str">
        <f t="shared" si="0"/>
        <v>人民币</v>
      </c>
      <c r="S52" s="1" t="str">
        <f>"T4001124"</f>
        <v>T4001124</v>
      </c>
    </row>
    <row r="53" spans="1:19">
      <c r="A53" s="1" t="str">
        <f t="shared" si="29"/>
        <v>20211130</v>
      </c>
      <c r="D53" s="1" t="str">
        <f>"融资借入"</f>
        <v>融资借入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19105.73</v>
      </c>
      <c r="O53" s="1">
        <v>19685.67</v>
      </c>
      <c r="P53" s="1">
        <v>0</v>
      </c>
      <c r="R53" s="1" t="str">
        <f t="shared" si="0"/>
        <v>人民币</v>
      </c>
      <c r="S53" s="1" t="str">
        <f>"T4001124"</f>
        <v>T4001124</v>
      </c>
    </row>
    <row r="54" spans="1:19">
      <c r="A54" s="1" t="str">
        <f t="shared" si="29"/>
        <v>20211130</v>
      </c>
      <c r="D54" s="1" t="str">
        <f>"偿还融券费用"</f>
        <v>偿还融券费用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-13.82</v>
      </c>
      <c r="O54" s="1">
        <v>19671.85</v>
      </c>
      <c r="P54" s="1">
        <v>0</v>
      </c>
      <c r="R54" s="1" t="str">
        <f t="shared" si="0"/>
        <v>人民币</v>
      </c>
      <c r="S54" s="1" t="str">
        <f t="shared" si="30"/>
        <v>T4000700</v>
      </c>
    </row>
    <row r="55" spans="1:19">
      <c r="A55" s="1" t="str">
        <f t="shared" si="29"/>
        <v>20211130</v>
      </c>
      <c r="D55" s="1" t="str">
        <f>"偿还融资利息"</f>
        <v>偿还融资利息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-53.19</v>
      </c>
      <c r="O55" s="1">
        <v>19618.66</v>
      </c>
      <c r="P55" s="1">
        <v>0</v>
      </c>
      <c r="R55" s="1" t="str">
        <f t="shared" si="0"/>
        <v>人民币</v>
      </c>
      <c r="S55" s="1" t="str">
        <f t="shared" si="30"/>
        <v>T4000700</v>
      </c>
    </row>
    <row r="56" spans="1:19">
      <c r="A56" s="1" t="str">
        <f t="shared" si="29"/>
        <v>20211130</v>
      </c>
      <c r="D56" s="1" t="str">
        <f>"偿还融资负债本金"</f>
        <v>偿还融资负债本金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-8655.77</v>
      </c>
      <c r="O56" s="1">
        <v>10962.89</v>
      </c>
      <c r="P56" s="1">
        <v>0</v>
      </c>
      <c r="R56" s="1" t="str">
        <f t="shared" si="0"/>
        <v>人民币</v>
      </c>
      <c r="S56" s="1" t="str">
        <f t="shared" si="30"/>
        <v>T4000700</v>
      </c>
    </row>
    <row r="57" spans="1:19">
      <c r="A57" s="1" t="str">
        <f t="shared" si="29"/>
        <v>20211130</v>
      </c>
      <c r="D57" s="1" t="str">
        <f>"偿还融资利息"</f>
        <v>偿还融资利息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-159.45</v>
      </c>
      <c r="O57" s="1">
        <v>10803.44</v>
      </c>
      <c r="P57" s="1">
        <v>0</v>
      </c>
      <c r="R57" s="1" t="str">
        <f t="shared" si="0"/>
        <v>人民币</v>
      </c>
      <c r="S57" s="1" t="str">
        <f t="shared" si="30"/>
        <v>T4000700</v>
      </c>
    </row>
    <row r="58" spans="1:19">
      <c r="A58" s="1" t="str">
        <f t="shared" si="29"/>
        <v>20211130</v>
      </c>
      <c r="D58" s="1" t="str">
        <f>"偿还融资负债本金"</f>
        <v>偿还融资负债本金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-10340.47</v>
      </c>
      <c r="O58" s="1">
        <v>462.97</v>
      </c>
      <c r="P58" s="1">
        <v>0</v>
      </c>
      <c r="R58" s="1" t="str">
        <f t="shared" si="0"/>
        <v>人民币</v>
      </c>
      <c r="S58" s="1" t="str">
        <f t="shared" si="30"/>
        <v>T4000700</v>
      </c>
    </row>
    <row r="59" spans="1:18">
      <c r="A59" s="1" t="str">
        <f>"20211201"</f>
        <v>20211201</v>
      </c>
      <c r="B59" s="1" t="str">
        <f t="shared" ref="B59:B61" si="31">"000543"</f>
        <v>000543</v>
      </c>
      <c r="C59" s="1" t="str">
        <f t="shared" ref="C59:C61" si="32">"皖能电力"</f>
        <v>皖能电力</v>
      </c>
      <c r="D59" s="1" t="str">
        <f>"股息红利差异扣税"</f>
        <v>股息红利差异扣税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-45.6</v>
      </c>
      <c r="O59" s="1">
        <v>417.37</v>
      </c>
      <c r="P59" s="1">
        <v>0</v>
      </c>
      <c r="Q59" s="1" t="str">
        <f t="shared" ref="Q59:Q61" si="33">"0602175409"</f>
        <v>0602175409</v>
      </c>
      <c r="R59" s="1" t="str">
        <f t="shared" si="0"/>
        <v>人民币</v>
      </c>
    </row>
    <row r="60" spans="1:19">
      <c r="A60" s="1" t="str">
        <f t="shared" ref="A60:A71" si="34">"20211203"</f>
        <v>20211203</v>
      </c>
      <c r="B60" s="1" t="str">
        <f t="shared" si="31"/>
        <v>000543</v>
      </c>
      <c r="C60" s="1" t="str">
        <f t="shared" si="32"/>
        <v>皖能电力</v>
      </c>
      <c r="D60" s="1" t="str">
        <f>"卖券还款"</f>
        <v>卖券还款</v>
      </c>
      <c r="E60" s="1">
        <v>3.97</v>
      </c>
      <c r="F60" s="1">
        <v>3000</v>
      </c>
      <c r="G60" s="1">
        <v>11910</v>
      </c>
      <c r="H60" s="1">
        <v>5</v>
      </c>
      <c r="I60" s="1">
        <v>3.94</v>
      </c>
      <c r="J60" s="1">
        <v>11.91</v>
      </c>
      <c r="K60" s="1">
        <v>0</v>
      </c>
      <c r="L60" s="1">
        <v>0</v>
      </c>
      <c r="M60" s="1">
        <v>0</v>
      </c>
      <c r="N60" s="1">
        <v>11893.09</v>
      </c>
      <c r="O60" s="1">
        <v>12310.46</v>
      </c>
      <c r="P60" s="1">
        <v>41000</v>
      </c>
      <c r="Q60" s="1" t="str">
        <f t="shared" si="33"/>
        <v>0602175409</v>
      </c>
      <c r="R60" s="1" t="str">
        <f t="shared" si="0"/>
        <v>人民币</v>
      </c>
      <c r="S60" s="1" t="str">
        <f t="shared" ref="S60:S64" si="35">"T4000024"</f>
        <v>T4000024</v>
      </c>
    </row>
    <row r="61" spans="1:19">
      <c r="A61" s="1" t="str">
        <f t="shared" si="34"/>
        <v>20211203</v>
      </c>
      <c r="B61" s="1" t="str">
        <f t="shared" si="31"/>
        <v>000543</v>
      </c>
      <c r="C61" s="1" t="str">
        <f t="shared" si="32"/>
        <v>皖能电力</v>
      </c>
      <c r="D61" s="1" t="str">
        <f>"卖券还款"</f>
        <v>卖券还款</v>
      </c>
      <c r="E61" s="1">
        <v>3.85</v>
      </c>
      <c r="F61" s="1">
        <v>5000</v>
      </c>
      <c r="G61" s="1">
        <v>19250</v>
      </c>
      <c r="H61" s="1">
        <v>5.78</v>
      </c>
      <c r="I61" s="1">
        <v>4.06</v>
      </c>
      <c r="J61" s="1">
        <v>19.25</v>
      </c>
      <c r="K61" s="1">
        <v>0</v>
      </c>
      <c r="L61" s="1">
        <v>0</v>
      </c>
      <c r="M61" s="1">
        <v>0</v>
      </c>
      <c r="N61" s="1">
        <v>19224.97</v>
      </c>
      <c r="O61" s="1">
        <v>31535.43</v>
      </c>
      <c r="P61" s="1">
        <v>36000</v>
      </c>
      <c r="Q61" s="1" t="str">
        <f t="shared" si="33"/>
        <v>0602175409</v>
      </c>
      <c r="R61" s="1" t="str">
        <f t="shared" si="0"/>
        <v>人民币</v>
      </c>
      <c r="S61" s="1" t="str">
        <f t="shared" ref="S61:S71" si="36">"T4000263"</f>
        <v>T4000263</v>
      </c>
    </row>
    <row r="62" spans="1:19">
      <c r="A62" s="1" t="str">
        <f t="shared" si="34"/>
        <v>20211203</v>
      </c>
      <c r="D62" s="1" t="str">
        <f t="shared" ref="D62:D67" si="37">"偿还融资负债本金"</f>
        <v>偿还融资负债本金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-9852.07</v>
      </c>
      <c r="O62" s="1">
        <v>21683.36</v>
      </c>
      <c r="P62" s="1">
        <v>0</v>
      </c>
      <c r="R62" s="1" t="str">
        <f t="shared" si="0"/>
        <v>人民币</v>
      </c>
      <c r="S62" s="1" t="str">
        <f t="shared" si="35"/>
        <v>T4000024</v>
      </c>
    </row>
    <row r="63" spans="1:19">
      <c r="A63" s="1" t="str">
        <f t="shared" si="34"/>
        <v>20211203</v>
      </c>
      <c r="D63" s="1" t="str">
        <f t="shared" ref="D63:D68" si="38">"偿还融资利息"</f>
        <v>偿还融资利息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-145.28</v>
      </c>
      <c r="O63" s="1">
        <v>21538.08</v>
      </c>
      <c r="P63" s="1">
        <v>0</v>
      </c>
      <c r="R63" s="1" t="str">
        <f t="shared" si="0"/>
        <v>人民币</v>
      </c>
      <c r="S63" s="1" t="str">
        <f t="shared" si="35"/>
        <v>T4000024</v>
      </c>
    </row>
    <row r="64" spans="1:19">
      <c r="A64" s="1" t="str">
        <f t="shared" si="34"/>
        <v>20211203</v>
      </c>
      <c r="D64" s="1" t="str">
        <f t="shared" si="37"/>
        <v>偿还融资负债本金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-1865.01</v>
      </c>
      <c r="O64" s="1">
        <v>19673.07</v>
      </c>
      <c r="P64" s="1">
        <v>0</v>
      </c>
      <c r="R64" s="1" t="str">
        <f t="shared" si="0"/>
        <v>人民币</v>
      </c>
      <c r="S64" s="1" t="str">
        <f t="shared" si="35"/>
        <v>T4000024</v>
      </c>
    </row>
    <row r="65" spans="1:19">
      <c r="A65" s="1" t="str">
        <f t="shared" si="34"/>
        <v>20211203</v>
      </c>
      <c r="D65" s="1" t="str">
        <f>"偿还融券费用"</f>
        <v>偿还融券费用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-4.11</v>
      </c>
      <c r="O65" s="1">
        <v>19668.96</v>
      </c>
      <c r="P65" s="1">
        <v>0</v>
      </c>
      <c r="R65" s="1" t="str">
        <f t="shared" si="0"/>
        <v>人民币</v>
      </c>
      <c r="S65" s="1" t="str">
        <f t="shared" si="36"/>
        <v>T4000263</v>
      </c>
    </row>
    <row r="66" spans="1:19">
      <c r="A66" s="1" t="str">
        <f t="shared" si="34"/>
        <v>20211203</v>
      </c>
      <c r="D66" s="1" t="str">
        <f t="shared" si="38"/>
        <v>偿还融资利息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-1.83</v>
      </c>
      <c r="O66" s="1">
        <v>19667.13</v>
      </c>
      <c r="P66" s="1">
        <v>0</v>
      </c>
      <c r="R66" s="1" t="str">
        <f t="shared" ref="R66:R100" si="39">"人民币"</f>
        <v>人民币</v>
      </c>
      <c r="S66" s="1" t="str">
        <f t="shared" si="36"/>
        <v>T4000263</v>
      </c>
    </row>
    <row r="67" spans="1:19">
      <c r="A67" s="1" t="str">
        <f t="shared" si="34"/>
        <v>20211203</v>
      </c>
      <c r="D67" s="1" t="str">
        <f t="shared" si="37"/>
        <v>偿还融资负债本金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-2624.53</v>
      </c>
      <c r="O67" s="1">
        <v>17042.6</v>
      </c>
      <c r="P67" s="1">
        <v>0</v>
      </c>
      <c r="R67" s="1" t="str">
        <f t="shared" si="39"/>
        <v>人民币</v>
      </c>
      <c r="S67" s="1" t="str">
        <f t="shared" si="36"/>
        <v>T4000263</v>
      </c>
    </row>
    <row r="68" spans="1:19">
      <c r="A68" s="1" t="str">
        <f t="shared" si="34"/>
        <v>20211203</v>
      </c>
      <c r="D68" s="1" t="str">
        <f t="shared" si="38"/>
        <v>偿还融资利息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-159.19</v>
      </c>
      <c r="O68" s="1">
        <v>16883.41</v>
      </c>
      <c r="P68" s="1">
        <v>0</v>
      </c>
      <c r="R68" s="1" t="str">
        <f t="shared" si="39"/>
        <v>人民币</v>
      </c>
      <c r="S68" s="1" t="str">
        <f t="shared" si="36"/>
        <v>T4000263</v>
      </c>
    </row>
    <row r="69" spans="1:19">
      <c r="A69" s="1" t="str">
        <f t="shared" si="34"/>
        <v>20211203</v>
      </c>
      <c r="D69" s="1" t="str">
        <f>"偿还融资负债本金"</f>
        <v>偿还融资负债本金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-13205</v>
      </c>
      <c r="O69" s="1">
        <v>3678.41</v>
      </c>
      <c r="P69" s="1">
        <v>0</v>
      </c>
      <c r="R69" s="1" t="str">
        <f t="shared" si="39"/>
        <v>人民币</v>
      </c>
      <c r="S69" s="1" t="str">
        <f t="shared" si="36"/>
        <v>T4000263</v>
      </c>
    </row>
    <row r="70" spans="1:19">
      <c r="A70" s="1" t="str">
        <f t="shared" si="34"/>
        <v>20211203</v>
      </c>
      <c r="D70" s="1" t="str">
        <f>"偿还融资利息"</f>
        <v>偿还融资利息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-155.41</v>
      </c>
      <c r="O70" s="1">
        <v>3523</v>
      </c>
      <c r="P70" s="1">
        <v>0</v>
      </c>
      <c r="R70" s="1" t="str">
        <f t="shared" si="39"/>
        <v>人民币</v>
      </c>
      <c r="S70" s="1" t="str">
        <f t="shared" si="36"/>
        <v>T4000263</v>
      </c>
    </row>
    <row r="71" spans="1:19">
      <c r="A71" s="1" t="str">
        <f t="shared" si="34"/>
        <v>20211203</v>
      </c>
      <c r="D71" s="1" t="str">
        <f>"偿还融资负债本金"</f>
        <v>偿还融资负债本金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-3022.93</v>
      </c>
      <c r="O71" s="1">
        <v>500.07</v>
      </c>
      <c r="P71" s="1">
        <v>0</v>
      </c>
      <c r="R71" s="1" t="str">
        <f t="shared" si="39"/>
        <v>人民币</v>
      </c>
      <c r="S71" s="1" t="str">
        <f t="shared" si="36"/>
        <v>T4000263</v>
      </c>
    </row>
    <row r="72" spans="1:18">
      <c r="A72" s="1" t="str">
        <f>"20211206"</f>
        <v>20211206</v>
      </c>
      <c r="B72" s="1" t="str">
        <f t="shared" ref="B72:B74" si="40">"000543"</f>
        <v>000543</v>
      </c>
      <c r="C72" s="1" t="str">
        <f t="shared" ref="C72:C74" si="41">"皖能电力"</f>
        <v>皖能电力</v>
      </c>
      <c r="D72" s="1" t="str">
        <f>"股息红利差异扣税"</f>
        <v>股息红利差异扣税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-30.4</v>
      </c>
      <c r="O72" s="1">
        <v>469.67</v>
      </c>
      <c r="P72" s="1">
        <v>0</v>
      </c>
      <c r="Q72" s="1" t="str">
        <f t="shared" ref="Q72:Q74" si="42">"0602175409"</f>
        <v>0602175409</v>
      </c>
      <c r="R72" s="1" t="str">
        <f t="shared" si="39"/>
        <v>人民币</v>
      </c>
    </row>
    <row r="73" spans="1:19">
      <c r="A73" s="1" t="str">
        <f t="shared" ref="A73:A81" si="43">"20211214"</f>
        <v>20211214</v>
      </c>
      <c r="B73" s="1" t="str">
        <f t="shared" si="40"/>
        <v>000543</v>
      </c>
      <c r="C73" s="1" t="str">
        <f t="shared" si="41"/>
        <v>皖能电力</v>
      </c>
      <c r="D73" s="1" t="str">
        <f>"卖券还款"</f>
        <v>卖券还款</v>
      </c>
      <c r="E73" s="1">
        <v>4.17</v>
      </c>
      <c r="F73" s="1">
        <v>3000</v>
      </c>
      <c r="G73" s="1">
        <v>12510</v>
      </c>
      <c r="H73" s="1">
        <v>5</v>
      </c>
      <c r="I73" s="1">
        <v>3.89</v>
      </c>
      <c r="J73" s="1">
        <v>12.51</v>
      </c>
      <c r="K73" s="1">
        <v>0</v>
      </c>
      <c r="L73" s="1">
        <v>0</v>
      </c>
      <c r="M73" s="1">
        <v>0</v>
      </c>
      <c r="N73" s="1">
        <v>12492.49</v>
      </c>
      <c r="O73" s="1">
        <v>12962.16</v>
      </c>
      <c r="P73" s="1">
        <v>33000</v>
      </c>
      <c r="Q73" s="1" t="str">
        <f t="shared" si="42"/>
        <v>0602175409</v>
      </c>
      <c r="R73" s="1" t="str">
        <f t="shared" si="39"/>
        <v>人民币</v>
      </c>
      <c r="S73" s="1" t="str">
        <f t="shared" ref="S73:S78" si="44">"T4000072"</f>
        <v>T4000072</v>
      </c>
    </row>
    <row r="74" spans="1:19">
      <c r="A74" s="1" t="str">
        <f t="shared" si="43"/>
        <v>20211214</v>
      </c>
      <c r="B74" s="1" t="str">
        <f t="shared" si="40"/>
        <v>000543</v>
      </c>
      <c r="C74" s="1" t="str">
        <f t="shared" si="41"/>
        <v>皖能电力</v>
      </c>
      <c r="D74" s="1" t="str">
        <f>"卖券还款"</f>
        <v>卖券还款</v>
      </c>
      <c r="E74" s="1">
        <v>4.38</v>
      </c>
      <c r="F74" s="1">
        <v>3000</v>
      </c>
      <c r="G74" s="1">
        <v>13140</v>
      </c>
      <c r="H74" s="1">
        <v>5</v>
      </c>
      <c r="I74" s="1">
        <v>3.84</v>
      </c>
      <c r="J74" s="1">
        <v>13.14</v>
      </c>
      <c r="K74" s="1">
        <v>0</v>
      </c>
      <c r="L74" s="1">
        <v>0</v>
      </c>
      <c r="M74" s="1">
        <v>0</v>
      </c>
      <c r="N74" s="1">
        <v>13121.86</v>
      </c>
      <c r="O74" s="1">
        <v>26084.02</v>
      </c>
      <c r="P74" s="1">
        <v>30000</v>
      </c>
      <c r="Q74" s="1" t="str">
        <f t="shared" si="42"/>
        <v>0602175409</v>
      </c>
      <c r="R74" s="1" t="str">
        <f t="shared" si="39"/>
        <v>人民币</v>
      </c>
      <c r="S74" s="1" t="str">
        <f>"T4001103"</f>
        <v>T4001103</v>
      </c>
    </row>
    <row r="75" spans="1:19">
      <c r="A75" s="1" t="str">
        <f t="shared" si="43"/>
        <v>20211214</v>
      </c>
      <c r="D75" s="1" t="str">
        <f t="shared" ref="D75:D80" si="45">"偿还融资利息"</f>
        <v>偿还融资利息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-26.53</v>
      </c>
      <c r="O75" s="1">
        <v>26057.49</v>
      </c>
      <c r="P75" s="1">
        <v>0</v>
      </c>
      <c r="R75" s="1" t="str">
        <f t="shared" si="39"/>
        <v>人民币</v>
      </c>
      <c r="S75" s="1" t="str">
        <f t="shared" si="44"/>
        <v>T4000072</v>
      </c>
    </row>
    <row r="76" spans="1:19">
      <c r="A76" s="1" t="str">
        <f t="shared" si="43"/>
        <v>20211214</v>
      </c>
      <c r="D76" s="1" t="str">
        <f t="shared" ref="D76:D79" si="46">"偿还融资负债本金"</f>
        <v>偿还融资负债本金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-10409.99</v>
      </c>
      <c r="O76" s="1">
        <v>15647.5</v>
      </c>
      <c r="P76" s="1">
        <v>0</v>
      </c>
      <c r="R76" s="1" t="str">
        <f t="shared" si="39"/>
        <v>人民币</v>
      </c>
      <c r="S76" s="1" t="str">
        <f t="shared" si="44"/>
        <v>T4000072</v>
      </c>
    </row>
    <row r="77" spans="1:19">
      <c r="A77" s="1" t="str">
        <f t="shared" si="43"/>
        <v>20211214</v>
      </c>
      <c r="D77" s="1" t="str">
        <f t="shared" si="45"/>
        <v>偿还融资利息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-159</v>
      </c>
      <c r="O77" s="1">
        <v>15488.5</v>
      </c>
      <c r="P77" s="1">
        <v>0</v>
      </c>
      <c r="R77" s="1" t="str">
        <f t="shared" si="39"/>
        <v>人民币</v>
      </c>
      <c r="S77" s="1" t="str">
        <f t="shared" si="44"/>
        <v>T4000072</v>
      </c>
    </row>
    <row r="78" spans="1:19">
      <c r="A78" s="1" t="str">
        <f t="shared" si="43"/>
        <v>20211214</v>
      </c>
      <c r="D78" s="1" t="str">
        <f t="shared" si="46"/>
        <v>偿还融资负债本金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-1864.44</v>
      </c>
      <c r="O78" s="1">
        <v>13624.06</v>
      </c>
      <c r="P78" s="1">
        <v>0</v>
      </c>
      <c r="R78" s="1" t="str">
        <f t="shared" si="39"/>
        <v>人民币</v>
      </c>
      <c r="S78" s="1" t="str">
        <f t="shared" si="44"/>
        <v>T4000072</v>
      </c>
    </row>
    <row r="79" spans="1:19">
      <c r="A79" s="1" t="str">
        <f t="shared" si="43"/>
        <v>20211214</v>
      </c>
      <c r="D79" s="1" t="str">
        <f t="shared" si="46"/>
        <v>偿还融资负债本金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-9570.56</v>
      </c>
      <c r="O79" s="1">
        <v>4053.5</v>
      </c>
      <c r="P79" s="1">
        <v>0</v>
      </c>
      <c r="R79" s="1" t="str">
        <f t="shared" si="39"/>
        <v>人民币</v>
      </c>
      <c r="S79" s="1" t="str">
        <f t="shared" ref="S79:S81" si="47">"T4001103"</f>
        <v>T4001103</v>
      </c>
    </row>
    <row r="80" spans="1:19">
      <c r="A80" s="1" t="str">
        <f t="shared" si="43"/>
        <v>20211214</v>
      </c>
      <c r="D80" s="1" t="str">
        <f t="shared" si="45"/>
        <v>偿还融资利息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-122.58</v>
      </c>
      <c r="O80" s="1">
        <v>3930.92</v>
      </c>
      <c r="P80" s="1">
        <v>0</v>
      </c>
      <c r="R80" s="1" t="str">
        <f t="shared" si="39"/>
        <v>人民币</v>
      </c>
      <c r="S80" s="1" t="str">
        <f t="shared" si="47"/>
        <v>T4001103</v>
      </c>
    </row>
    <row r="81" spans="1:19">
      <c r="A81" s="1" t="str">
        <f t="shared" si="43"/>
        <v>20211214</v>
      </c>
      <c r="D81" s="1" t="str">
        <f t="shared" ref="D81:D86" si="48">"偿还融资负债本金"</f>
        <v>偿还融资负债本金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-3394.3</v>
      </c>
      <c r="O81" s="1">
        <v>536.62</v>
      </c>
      <c r="P81" s="1">
        <v>0</v>
      </c>
      <c r="R81" s="1" t="str">
        <f t="shared" si="39"/>
        <v>人民币</v>
      </c>
      <c r="S81" s="1" t="str">
        <f t="shared" si="47"/>
        <v>T4001103</v>
      </c>
    </row>
    <row r="82" spans="1:19">
      <c r="A82" s="1" t="str">
        <f t="shared" ref="A82:A86" si="49">"20211215"</f>
        <v>20211215</v>
      </c>
      <c r="B82" s="1" t="str">
        <f>"000543"</f>
        <v>000543</v>
      </c>
      <c r="C82" s="1" t="str">
        <f>"皖能电力"</f>
        <v>皖能电力</v>
      </c>
      <c r="D82" s="1" t="str">
        <f>"卖券还款"</f>
        <v>卖券还款</v>
      </c>
      <c r="E82" s="1">
        <v>4.6</v>
      </c>
      <c r="F82" s="1">
        <v>3000</v>
      </c>
      <c r="G82" s="1">
        <v>13800</v>
      </c>
      <c r="H82" s="1">
        <v>5</v>
      </c>
      <c r="I82" s="1">
        <v>3.77</v>
      </c>
      <c r="J82" s="1">
        <v>13.8</v>
      </c>
      <c r="K82" s="1">
        <v>0</v>
      </c>
      <c r="L82" s="1">
        <v>0</v>
      </c>
      <c r="M82" s="1">
        <v>0</v>
      </c>
      <c r="N82" s="1">
        <v>13781.2</v>
      </c>
      <c r="O82" s="1">
        <v>14317.82</v>
      </c>
      <c r="P82" s="1">
        <v>27000</v>
      </c>
      <c r="Q82" s="1" t="str">
        <f>"0602175409"</f>
        <v>0602175409</v>
      </c>
      <c r="R82" s="1" t="str">
        <f t="shared" si="39"/>
        <v>人民币</v>
      </c>
      <c r="S82" s="1" t="str">
        <f t="shared" ref="S82:S86" si="50">"T4000086"</f>
        <v>T4000086</v>
      </c>
    </row>
    <row r="83" spans="1:19">
      <c r="A83" s="1" t="str">
        <f t="shared" si="49"/>
        <v>20211215</v>
      </c>
      <c r="D83" s="1" t="str">
        <f t="shared" ref="D83:D90" si="51">"偿还融资利息"</f>
        <v>偿还融资利息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-2.13</v>
      </c>
      <c r="O83" s="1">
        <v>14315.69</v>
      </c>
      <c r="P83" s="1">
        <v>0</v>
      </c>
      <c r="R83" s="1" t="str">
        <f t="shared" si="39"/>
        <v>人民币</v>
      </c>
      <c r="S83" s="1" t="str">
        <f t="shared" si="50"/>
        <v>T4000086</v>
      </c>
    </row>
    <row r="84" spans="1:19">
      <c r="A84" s="1" t="str">
        <f t="shared" si="49"/>
        <v>20211215</v>
      </c>
      <c r="D84" s="1" t="str">
        <f t="shared" si="48"/>
        <v>偿还融资负债本金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-9180.7</v>
      </c>
      <c r="O84" s="1">
        <v>5134.99</v>
      </c>
      <c r="P84" s="1">
        <v>0</v>
      </c>
      <c r="R84" s="1" t="str">
        <f t="shared" si="39"/>
        <v>人民币</v>
      </c>
      <c r="S84" s="1" t="str">
        <f t="shared" si="50"/>
        <v>T4000086</v>
      </c>
    </row>
    <row r="85" spans="1:19">
      <c r="A85" s="1" t="str">
        <f t="shared" si="49"/>
        <v>20211215</v>
      </c>
      <c r="D85" s="1" t="str">
        <f t="shared" si="51"/>
        <v>偿还融资利息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-110.8</v>
      </c>
      <c r="O85" s="1">
        <v>5024.19</v>
      </c>
      <c r="P85" s="1">
        <v>0</v>
      </c>
      <c r="R85" s="1" t="str">
        <f t="shared" si="39"/>
        <v>人民币</v>
      </c>
      <c r="S85" s="1" t="str">
        <f t="shared" si="50"/>
        <v>T4000086</v>
      </c>
    </row>
    <row r="86" spans="1:19">
      <c r="A86" s="1" t="str">
        <f t="shared" si="49"/>
        <v>20211215</v>
      </c>
      <c r="D86" s="1" t="str">
        <f t="shared" si="48"/>
        <v>偿还融资负债本金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-4451.17</v>
      </c>
      <c r="O86" s="1">
        <v>573.02</v>
      </c>
      <c r="P86" s="1">
        <v>0</v>
      </c>
      <c r="R86" s="1" t="str">
        <f t="shared" si="39"/>
        <v>人民币</v>
      </c>
      <c r="S86" s="1" t="str">
        <f t="shared" si="50"/>
        <v>T4000086</v>
      </c>
    </row>
    <row r="87" spans="1:18">
      <c r="A87" s="1" t="str">
        <f t="shared" ref="A87:A90" si="52">"20211220"</f>
        <v>20211220</v>
      </c>
      <c r="D87" s="1" t="str">
        <f>"利息归本"</f>
        <v>利息归本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0.41</v>
      </c>
      <c r="O87" s="1">
        <v>573.43</v>
      </c>
      <c r="P87" s="1">
        <v>0</v>
      </c>
      <c r="R87" s="1" t="str">
        <f t="shared" si="39"/>
        <v>人民币</v>
      </c>
    </row>
    <row r="88" spans="1:18">
      <c r="A88" s="1" t="str">
        <f t="shared" si="52"/>
        <v>20211220</v>
      </c>
      <c r="D88" s="1" t="str">
        <f t="shared" si="51"/>
        <v>偿还融资利息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-10.44</v>
      </c>
      <c r="O88" s="1">
        <v>562.99</v>
      </c>
      <c r="P88" s="1">
        <v>0</v>
      </c>
      <c r="R88" s="1" t="str">
        <f t="shared" si="39"/>
        <v>人民币</v>
      </c>
    </row>
    <row r="89" spans="1:18">
      <c r="A89" s="1" t="str">
        <f t="shared" si="52"/>
        <v>20211220</v>
      </c>
      <c r="D89" s="1" t="str">
        <f t="shared" si="51"/>
        <v>偿还融资利息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-107.83</v>
      </c>
      <c r="O89" s="1">
        <v>455.16</v>
      </c>
      <c r="P89" s="1">
        <v>0</v>
      </c>
      <c r="R89" s="1" t="str">
        <f t="shared" si="39"/>
        <v>人民币</v>
      </c>
    </row>
    <row r="90" spans="1:18">
      <c r="A90" s="1" t="str">
        <f t="shared" si="52"/>
        <v>20211220</v>
      </c>
      <c r="D90" s="1" t="str">
        <f t="shared" si="51"/>
        <v>偿还融资利息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-44.4</v>
      </c>
      <c r="O90" s="1">
        <v>410.76</v>
      </c>
      <c r="P90" s="1">
        <v>0</v>
      </c>
      <c r="R90" s="1" t="str">
        <f t="shared" si="39"/>
        <v>人民币</v>
      </c>
    </row>
    <row r="91" spans="1:19">
      <c r="A91" s="1" t="str">
        <f t="shared" ref="A91:A95" si="53">"20211223"</f>
        <v>20211223</v>
      </c>
      <c r="B91" s="1" t="str">
        <f>"000543"</f>
        <v>000543</v>
      </c>
      <c r="C91" s="1" t="str">
        <f>"皖能电力"</f>
        <v>皖能电力</v>
      </c>
      <c r="D91" s="1" t="str">
        <f>"卖券还款"</f>
        <v>卖券还款</v>
      </c>
      <c r="E91" s="1">
        <v>5.05</v>
      </c>
      <c r="F91" s="1">
        <v>3000</v>
      </c>
      <c r="G91" s="1">
        <v>15150</v>
      </c>
      <c r="H91" s="1">
        <v>5</v>
      </c>
      <c r="I91" s="1">
        <v>3.66</v>
      </c>
      <c r="J91" s="1">
        <v>15.16</v>
      </c>
      <c r="K91" s="1">
        <v>0</v>
      </c>
      <c r="L91" s="1">
        <v>0</v>
      </c>
      <c r="M91" s="1">
        <v>0</v>
      </c>
      <c r="N91" s="1">
        <v>15129.84</v>
      </c>
      <c r="O91" s="1">
        <v>15540.6</v>
      </c>
      <c r="P91" s="1">
        <v>24000</v>
      </c>
      <c r="Q91" s="1" t="str">
        <f>"0602175409"</f>
        <v>0602175409</v>
      </c>
      <c r="R91" s="1" t="str">
        <f t="shared" si="39"/>
        <v>人民币</v>
      </c>
      <c r="S91" s="1" t="str">
        <f t="shared" ref="S91:S95" si="54">"T4000490"</f>
        <v>T4000490</v>
      </c>
    </row>
    <row r="92" spans="1:19">
      <c r="A92" s="1" t="str">
        <f t="shared" si="53"/>
        <v>20211223</v>
      </c>
      <c r="D92" s="1" t="str">
        <f t="shared" ref="D92:D97" si="55">"偿还融资利息"</f>
        <v>偿还融资利息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-3.48</v>
      </c>
      <c r="O92" s="1">
        <v>15537.12</v>
      </c>
      <c r="P92" s="1">
        <v>0</v>
      </c>
      <c r="R92" s="1" t="str">
        <f t="shared" si="39"/>
        <v>人民币</v>
      </c>
      <c r="S92" s="1" t="str">
        <f t="shared" si="54"/>
        <v>T4000490</v>
      </c>
    </row>
    <row r="93" spans="1:19">
      <c r="A93" s="1" t="str">
        <f t="shared" si="53"/>
        <v>20211223</v>
      </c>
      <c r="D93" s="1" t="str">
        <f t="shared" ref="D93:D98" si="56">"偿还融资负债本金"</f>
        <v>偿还融资负债本金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-7493.83</v>
      </c>
      <c r="O93" s="1">
        <v>8043.29</v>
      </c>
      <c r="P93" s="1">
        <v>0</v>
      </c>
      <c r="R93" s="1" t="str">
        <f t="shared" si="39"/>
        <v>人民币</v>
      </c>
      <c r="S93" s="1" t="str">
        <f t="shared" si="54"/>
        <v>T4000490</v>
      </c>
    </row>
    <row r="94" spans="1:19">
      <c r="A94" s="1" t="str">
        <f t="shared" si="53"/>
        <v>20211223</v>
      </c>
      <c r="D94" s="1" t="str">
        <f t="shared" si="55"/>
        <v>偿还融资利息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-5.26</v>
      </c>
      <c r="O94" s="1">
        <v>8038.03</v>
      </c>
      <c r="P94" s="1">
        <v>0</v>
      </c>
      <c r="R94" s="1" t="str">
        <f t="shared" si="39"/>
        <v>人民币</v>
      </c>
      <c r="S94" s="1" t="str">
        <f t="shared" si="54"/>
        <v>T4000490</v>
      </c>
    </row>
    <row r="95" spans="1:19">
      <c r="A95" s="1" t="str">
        <f t="shared" si="53"/>
        <v>20211223</v>
      </c>
      <c r="D95" s="1" t="str">
        <f t="shared" si="56"/>
        <v>偿还融资负债本金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-7586.73</v>
      </c>
      <c r="O95" s="1">
        <v>451.3</v>
      </c>
      <c r="P95" s="1">
        <v>0</v>
      </c>
      <c r="R95" s="1" t="str">
        <f t="shared" si="39"/>
        <v>人民币</v>
      </c>
      <c r="S95" s="1" t="str">
        <f t="shared" si="54"/>
        <v>T4000490</v>
      </c>
    </row>
    <row r="96" spans="1:19">
      <c r="A96" s="1" t="str">
        <f t="shared" ref="A96:A100" si="57">"20211224"</f>
        <v>20211224</v>
      </c>
      <c r="B96" s="1" t="str">
        <f>"000543"</f>
        <v>000543</v>
      </c>
      <c r="C96" s="1" t="str">
        <f>"皖能电力"</f>
        <v>皖能电力</v>
      </c>
      <c r="D96" s="1" t="str">
        <f>"卖券还款"</f>
        <v>卖券还款</v>
      </c>
      <c r="E96" s="1">
        <v>5.72</v>
      </c>
      <c r="F96" s="1">
        <v>3000</v>
      </c>
      <c r="G96" s="1">
        <v>17160</v>
      </c>
      <c r="H96" s="1">
        <v>5.15</v>
      </c>
      <c r="I96" s="1">
        <v>3.63</v>
      </c>
      <c r="J96" s="1">
        <v>17.16</v>
      </c>
      <c r="K96" s="1">
        <v>0</v>
      </c>
      <c r="L96" s="1">
        <v>0</v>
      </c>
      <c r="M96" s="1">
        <v>0</v>
      </c>
      <c r="N96" s="1">
        <v>17137.69</v>
      </c>
      <c r="O96" s="1">
        <v>17588.99</v>
      </c>
      <c r="P96" s="1">
        <v>21000</v>
      </c>
      <c r="Q96" s="1" t="str">
        <f>"0602175409"</f>
        <v>0602175409</v>
      </c>
      <c r="R96" s="1" t="str">
        <f t="shared" si="39"/>
        <v>人民币</v>
      </c>
      <c r="S96" s="1" t="str">
        <f t="shared" ref="S96:S100" si="58">"T4000397"</f>
        <v>T4000397</v>
      </c>
    </row>
    <row r="97" spans="1:19">
      <c r="A97" s="1" t="str">
        <f t="shared" si="57"/>
        <v>20211224</v>
      </c>
      <c r="D97" s="1" t="str">
        <f t="shared" si="55"/>
        <v>偿还融资利息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-0.87</v>
      </c>
      <c r="O97" s="1">
        <v>17588.12</v>
      </c>
      <c r="P97" s="1">
        <v>0</v>
      </c>
      <c r="R97" s="1" t="str">
        <f t="shared" si="39"/>
        <v>人民币</v>
      </c>
      <c r="S97" s="1" t="str">
        <f t="shared" si="58"/>
        <v>T4000397</v>
      </c>
    </row>
    <row r="98" spans="1:19">
      <c r="A98" s="1" t="str">
        <f t="shared" si="57"/>
        <v>20211224</v>
      </c>
      <c r="D98" s="1" t="str">
        <f t="shared" si="56"/>
        <v>偿还融资负债本金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-3758.27</v>
      </c>
      <c r="O98" s="1">
        <v>13829.85</v>
      </c>
      <c r="P98" s="1">
        <v>0</v>
      </c>
      <c r="R98" s="1" t="str">
        <f t="shared" si="39"/>
        <v>人民币</v>
      </c>
      <c r="S98" s="1" t="str">
        <f t="shared" si="58"/>
        <v>T4000397</v>
      </c>
    </row>
    <row r="99" spans="1:19">
      <c r="A99" s="1" t="str">
        <f t="shared" si="57"/>
        <v>20211224</v>
      </c>
      <c r="D99" s="1" t="str">
        <f>"偿还融资利息"</f>
        <v>偿还融资利息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-116.55</v>
      </c>
      <c r="O99" s="1">
        <v>13713.3</v>
      </c>
      <c r="P99" s="1">
        <v>0</v>
      </c>
      <c r="R99" s="1" t="str">
        <f t="shared" si="39"/>
        <v>人民币</v>
      </c>
      <c r="S99" s="1" t="str">
        <f t="shared" si="58"/>
        <v>T4000397</v>
      </c>
    </row>
    <row r="100" spans="1:19">
      <c r="A100" s="1" t="str">
        <f t="shared" si="57"/>
        <v>20211224</v>
      </c>
      <c r="D100" s="1" t="str">
        <f>"偿还融资负债本金"</f>
        <v>偿还融资负债本金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-13215.67</v>
      </c>
      <c r="O100" s="1">
        <v>497.63</v>
      </c>
      <c r="P100" s="1">
        <v>0</v>
      </c>
      <c r="R100" s="1" t="str">
        <f t="shared" si="39"/>
        <v>人民币</v>
      </c>
      <c r="S100" s="1" t="str">
        <f t="shared" si="58"/>
        <v>T4000397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1"/>
  <sheetViews>
    <sheetView zoomScaleSheetLayoutView="60" topLeftCell="A76" workbookViewId="0">
      <selection activeCell="A2" sqref="A2:P111"/>
    </sheetView>
  </sheetViews>
  <sheetFormatPr defaultColWidth="9" defaultRowHeight="13.5"/>
  <cols>
    <col min="1" max="16384" width="9" style="1"/>
  </cols>
  <sheetData>
    <row r="1" spans="1:19">
      <c r="A1" s="1" t="str">
        <f>"交割日期"</f>
        <v>交割日期</v>
      </c>
      <c r="B1" s="1" t="str">
        <f>"证券代码"</f>
        <v>证券代码</v>
      </c>
      <c r="C1" s="1" t="str">
        <f>"证券名称"</f>
        <v>证券名称</v>
      </c>
      <c r="D1" s="1" t="str">
        <f>"业务名称"</f>
        <v>业务名称</v>
      </c>
      <c r="E1" s="1" t="str">
        <f>"成交价格"</f>
        <v>成交价格</v>
      </c>
      <c r="F1" s="1" t="str">
        <f>"成交数量"</f>
        <v>成交数量</v>
      </c>
      <c r="G1" s="1" t="str">
        <f>"成交金额"</f>
        <v>成交金额</v>
      </c>
      <c r="H1" s="1" t="str">
        <f>"手续费"</f>
        <v>手续费</v>
      </c>
      <c r="I1" s="1" t="str">
        <f>"净佣金"</f>
        <v>净佣金</v>
      </c>
      <c r="J1" s="1" t="str">
        <f>"印花税"</f>
        <v>印花税</v>
      </c>
      <c r="K1" s="1" t="str">
        <f>"过户费"</f>
        <v>过户费</v>
      </c>
      <c r="L1" s="1" t="str">
        <f>"结算费"</f>
        <v>结算费</v>
      </c>
      <c r="M1" s="1" t="str">
        <f>"其他费"</f>
        <v>其他费</v>
      </c>
      <c r="N1" s="1" t="str">
        <f>"发生金额"</f>
        <v>发生金额</v>
      </c>
      <c r="O1" s="1" t="str">
        <f>"剩余金额"</f>
        <v>剩余金额</v>
      </c>
      <c r="P1" s="1" t="str">
        <f>"证券数量"</f>
        <v>证券数量</v>
      </c>
      <c r="Q1" s="1" t="str">
        <f>"股东代码"</f>
        <v>股东代码</v>
      </c>
      <c r="R1" s="1" t="str">
        <f>"币种"</f>
        <v>币种</v>
      </c>
      <c r="S1" s="1" t="str">
        <f>"成交编号"</f>
        <v>成交编号</v>
      </c>
    </row>
    <row r="2" spans="1:19">
      <c r="A2" s="1" t="str">
        <f>"20220106"</f>
        <v>20220106</v>
      </c>
      <c r="B2" s="1" t="str">
        <f>"159781"</f>
        <v>159781</v>
      </c>
      <c r="C2" s="1" t="str">
        <f>"科创创业"</f>
        <v>科创创业</v>
      </c>
      <c r="D2" s="1" t="str">
        <f>"融资买入"</f>
        <v>融资买入</v>
      </c>
      <c r="E2" s="1">
        <v>0.776</v>
      </c>
      <c r="F2" s="1">
        <v>28000</v>
      </c>
      <c r="G2" s="1">
        <v>21728</v>
      </c>
      <c r="H2" s="1">
        <v>6.52</v>
      </c>
      <c r="I2" s="1">
        <v>5.65</v>
      </c>
      <c r="J2" s="1">
        <v>0</v>
      </c>
      <c r="K2" s="1">
        <v>0</v>
      </c>
      <c r="L2" s="1">
        <v>0</v>
      </c>
      <c r="M2" s="1">
        <v>0</v>
      </c>
      <c r="N2" s="1">
        <v>-21734.52</v>
      </c>
      <c r="O2" s="1">
        <v>-21236.89</v>
      </c>
      <c r="P2" s="1">
        <v>28000</v>
      </c>
      <c r="Q2" s="1" t="str">
        <f>"0602175409"</f>
        <v>0602175409</v>
      </c>
      <c r="R2" s="1" t="str">
        <f t="shared" ref="R2:R65" si="0">"人民币"</f>
        <v>人民币</v>
      </c>
      <c r="S2" s="1" t="str">
        <f>"T4000655"</f>
        <v>T4000655</v>
      </c>
    </row>
    <row r="3" spans="1:19">
      <c r="A3" s="1" t="str">
        <f>"20220106"</f>
        <v>20220106</v>
      </c>
      <c r="D3" s="1" t="str">
        <f>"融资借入"</f>
        <v>融资借入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21734.52</v>
      </c>
      <c r="O3" s="1">
        <v>497.63</v>
      </c>
      <c r="P3" s="1">
        <v>0</v>
      </c>
      <c r="R3" s="1" t="str">
        <f t="shared" si="0"/>
        <v>人民币</v>
      </c>
      <c r="S3" s="1" t="str">
        <f>"T4000655"</f>
        <v>T4000655</v>
      </c>
    </row>
    <row r="4" spans="1:19">
      <c r="A4" s="1" t="str">
        <f t="shared" ref="A4:A8" si="1">"20220117"</f>
        <v>20220117</v>
      </c>
      <c r="B4" s="1" t="str">
        <f>"159781"</f>
        <v>159781</v>
      </c>
      <c r="C4" s="1" t="str">
        <f>"科创创业"</f>
        <v>科创创业</v>
      </c>
      <c r="D4" s="1" t="str">
        <f>"卖券还款"</f>
        <v>卖券还款</v>
      </c>
      <c r="E4" s="1">
        <v>0.796</v>
      </c>
      <c r="F4" s="1">
        <v>14000</v>
      </c>
      <c r="G4" s="1">
        <v>11144</v>
      </c>
      <c r="H4" s="1">
        <v>5</v>
      </c>
      <c r="I4" s="1">
        <v>4.55</v>
      </c>
      <c r="J4" s="1">
        <v>0</v>
      </c>
      <c r="K4" s="1">
        <v>0</v>
      </c>
      <c r="L4" s="1">
        <v>0</v>
      </c>
      <c r="M4" s="1">
        <v>0</v>
      </c>
      <c r="N4" s="1">
        <v>11139</v>
      </c>
      <c r="O4" s="1">
        <v>11636.63</v>
      </c>
      <c r="P4" s="1">
        <v>14000</v>
      </c>
      <c r="Q4" s="1" t="str">
        <f>"0602175409"</f>
        <v>0602175409</v>
      </c>
      <c r="R4" s="1" t="str">
        <f t="shared" si="0"/>
        <v>人民币</v>
      </c>
      <c r="S4" s="1" t="str">
        <f t="shared" ref="S4:S8" si="2">"T4000097"</f>
        <v>T4000097</v>
      </c>
    </row>
    <row r="5" spans="1:19">
      <c r="A5" s="1" t="str">
        <f t="shared" si="1"/>
        <v>20220117</v>
      </c>
      <c r="D5" s="1" t="str">
        <f>"偿还融资利息"</f>
        <v>偿还融资利息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-30.76</v>
      </c>
      <c r="O5" s="1">
        <v>11605.87</v>
      </c>
      <c r="P5" s="1">
        <v>0</v>
      </c>
      <c r="R5" s="1" t="str">
        <f t="shared" si="0"/>
        <v>人民币</v>
      </c>
      <c r="S5" s="1" t="str">
        <f t="shared" si="2"/>
        <v>T4000097</v>
      </c>
    </row>
    <row r="6" spans="1:19">
      <c r="A6" s="1" t="str">
        <f t="shared" si="1"/>
        <v>20220117</v>
      </c>
      <c r="D6" s="1" t="str">
        <f>"偿还融资负债本金"</f>
        <v>偿还融资负债本金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-5539.96</v>
      </c>
      <c r="O6" s="1">
        <v>6065.91</v>
      </c>
      <c r="P6" s="1">
        <v>0</v>
      </c>
      <c r="R6" s="1" t="str">
        <f t="shared" si="0"/>
        <v>人民币</v>
      </c>
      <c r="S6" s="1" t="str">
        <f t="shared" si="2"/>
        <v>T4000097</v>
      </c>
    </row>
    <row r="7" spans="1:19">
      <c r="A7" s="1" t="str">
        <f t="shared" si="1"/>
        <v>20220117</v>
      </c>
      <c r="D7" s="1" t="str">
        <f>"偿还融资利息"</f>
        <v>偿还融资利息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-212.64</v>
      </c>
      <c r="O7" s="1">
        <v>5853.27</v>
      </c>
      <c r="P7" s="1">
        <v>0</v>
      </c>
      <c r="R7" s="1" t="str">
        <f t="shared" si="0"/>
        <v>人民币</v>
      </c>
      <c r="S7" s="1" t="str">
        <f t="shared" si="2"/>
        <v>T4000097</v>
      </c>
    </row>
    <row r="8" spans="1:19">
      <c r="A8" s="1" t="str">
        <f t="shared" si="1"/>
        <v>20220117</v>
      </c>
      <c r="D8" s="1" t="str">
        <f>"偿还融资负债本金"</f>
        <v>偿还融资负债本金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-5327.21</v>
      </c>
      <c r="O8" s="1">
        <v>526.06</v>
      </c>
      <c r="P8" s="1">
        <v>0</v>
      </c>
      <c r="R8" s="1" t="str">
        <f t="shared" si="0"/>
        <v>人民币</v>
      </c>
      <c r="S8" s="1" t="str">
        <f t="shared" si="2"/>
        <v>T4000097</v>
      </c>
    </row>
    <row r="9" spans="1:19">
      <c r="A9" s="1" t="str">
        <f t="shared" ref="A9:A11" si="3">"20220119"</f>
        <v>20220119</v>
      </c>
      <c r="B9" s="1" t="str">
        <f>"159781"</f>
        <v>159781</v>
      </c>
      <c r="C9" s="1" t="str">
        <f>"科创创业"</f>
        <v>科创创业</v>
      </c>
      <c r="D9" s="1" t="str">
        <f>"融资买入"</f>
        <v>融资买入</v>
      </c>
      <c r="E9" s="1">
        <v>0.78</v>
      </c>
      <c r="F9" s="1">
        <v>14000</v>
      </c>
      <c r="G9" s="1">
        <v>10920</v>
      </c>
      <c r="H9" s="1">
        <v>5</v>
      </c>
      <c r="I9" s="1">
        <v>4.56</v>
      </c>
      <c r="J9" s="1">
        <v>0</v>
      </c>
      <c r="K9" s="1">
        <v>0</v>
      </c>
      <c r="L9" s="1">
        <v>0</v>
      </c>
      <c r="M9" s="1">
        <v>0</v>
      </c>
      <c r="N9" s="1">
        <v>-10925</v>
      </c>
      <c r="O9" s="1">
        <v>-10398.94</v>
      </c>
      <c r="P9" s="1">
        <v>28000</v>
      </c>
      <c r="Q9" s="1" t="str">
        <f>"0602175409"</f>
        <v>0602175409</v>
      </c>
      <c r="R9" s="1" t="str">
        <f t="shared" si="0"/>
        <v>人民币</v>
      </c>
      <c r="S9" s="1" t="str">
        <f>"T4000106"</f>
        <v>T4000106</v>
      </c>
    </row>
    <row r="10" spans="1:19">
      <c r="A10" s="1" t="str">
        <f t="shared" si="3"/>
        <v>20220119</v>
      </c>
      <c r="D10" s="1" t="str">
        <f>"融资借入"</f>
        <v>融资借入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10925</v>
      </c>
      <c r="O10" s="1">
        <v>526.06</v>
      </c>
      <c r="P10" s="1">
        <v>0</v>
      </c>
      <c r="R10" s="1" t="str">
        <f t="shared" si="0"/>
        <v>人民币</v>
      </c>
      <c r="S10" s="1" t="str">
        <f>"T4000106"</f>
        <v>T4000106</v>
      </c>
    </row>
    <row r="11" spans="1:18">
      <c r="A11" s="1" t="str">
        <f t="shared" si="3"/>
        <v>20220119</v>
      </c>
      <c r="D11" s="1" t="str">
        <f>"偿还融券权益金额"</f>
        <v>偿还融券权益金额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-90</v>
      </c>
      <c r="O11" s="1">
        <v>436.06</v>
      </c>
      <c r="P11" s="1">
        <v>0</v>
      </c>
      <c r="R11" s="1" t="str">
        <f t="shared" si="0"/>
        <v>人民币</v>
      </c>
    </row>
    <row r="12" spans="1:18">
      <c r="A12" s="1" t="str">
        <f t="shared" ref="A12:A14" si="4">"20220120"</f>
        <v>20220120</v>
      </c>
      <c r="D12" s="1" t="str">
        <f>"偿还融资利息"</f>
        <v>偿还融资利息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-12.8</v>
      </c>
      <c r="O12" s="1">
        <v>423.26</v>
      </c>
      <c r="P12" s="1">
        <v>0</v>
      </c>
      <c r="R12" s="1" t="str">
        <f t="shared" si="0"/>
        <v>人民币</v>
      </c>
    </row>
    <row r="13" spans="1:18">
      <c r="A13" s="1" t="str">
        <f t="shared" si="4"/>
        <v>20220120</v>
      </c>
      <c r="D13" s="1" t="str">
        <f>"偿还融券费用"</f>
        <v>偿还融券费用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-67.94</v>
      </c>
      <c r="O13" s="1">
        <v>355.32</v>
      </c>
      <c r="P13" s="1">
        <v>0</v>
      </c>
      <c r="R13" s="1" t="str">
        <f t="shared" si="0"/>
        <v>人民币</v>
      </c>
    </row>
    <row r="14" spans="1:18">
      <c r="A14" s="1" t="str">
        <f t="shared" si="4"/>
        <v>20220120</v>
      </c>
      <c r="D14" s="1" t="str">
        <f>"偿还融资利息"</f>
        <v>偿还融资利息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-34.56</v>
      </c>
      <c r="O14" s="1">
        <v>320.76</v>
      </c>
      <c r="P14" s="1">
        <v>0</v>
      </c>
      <c r="R14" s="1" t="str">
        <f t="shared" si="0"/>
        <v>人民币</v>
      </c>
    </row>
    <row r="15" spans="1:19">
      <c r="A15" s="1" t="str">
        <f>"20220121"</f>
        <v>20220121</v>
      </c>
      <c r="B15" s="1" t="str">
        <f>"159781"</f>
        <v>159781</v>
      </c>
      <c r="C15" s="1" t="str">
        <f>"科创创业"</f>
        <v>科创创业</v>
      </c>
      <c r="D15" s="1" t="str">
        <f t="shared" ref="D15:D18" si="5">"融资买入"</f>
        <v>融资买入</v>
      </c>
      <c r="E15" s="1">
        <v>0.764</v>
      </c>
      <c r="F15" s="1">
        <v>14000</v>
      </c>
      <c r="G15" s="1">
        <v>10696</v>
      </c>
      <c r="H15" s="1">
        <v>5</v>
      </c>
      <c r="I15" s="1">
        <v>4.57</v>
      </c>
      <c r="J15" s="1">
        <v>0</v>
      </c>
      <c r="K15" s="1">
        <v>0</v>
      </c>
      <c r="L15" s="1">
        <v>0</v>
      </c>
      <c r="M15" s="1">
        <v>0</v>
      </c>
      <c r="N15" s="1">
        <v>-10701</v>
      </c>
      <c r="O15" s="1">
        <v>-10380.24</v>
      </c>
      <c r="P15" s="1">
        <v>42000</v>
      </c>
      <c r="Q15" s="1" t="str">
        <f t="shared" ref="Q15:Q18" si="6">"0602175409"</f>
        <v>0602175409</v>
      </c>
      <c r="R15" s="1" t="str">
        <f t="shared" si="0"/>
        <v>人民币</v>
      </c>
      <c r="S15" s="1" t="str">
        <f>"T4000061"</f>
        <v>T4000061</v>
      </c>
    </row>
    <row r="16" spans="1:19">
      <c r="A16" s="1" t="str">
        <f>"20220121"</f>
        <v>20220121</v>
      </c>
      <c r="D16" s="1" t="str">
        <f t="shared" ref="D16:D20" si="7">"融资借入"</f>
        <v>融资借入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10701</v>
      </c>
      <c r="O16" s="1">
        <v>320.76</v>
      </c>
      <c r="P16" s="1">
        <v>0</v>
      </c>
      <c r="R16" s="1" t="str">
        <f t="shared" si="0"/>
        <v>人民币</v>
      </c>
      <c r="S16" s="1" t="str">
        <f>"T4000061"</f>
        <v>T4000061</v>
      </c>
    </row>
    <row r="17" spans="1:19">
      <c r="A17" s="1" t="str">
        <f t="shared" ref="A17:A20" si="8">"20220125"</f>
        <v>20220125</v>
      </c>
      <c r="B17" s="1" t="str">
        <f>"000543"</f>
        <v>000543</v>
      </c>
      <c r="C17" s="1" t="str">
        <f>"皖能电力"</f>
        <v>皖能电力</v>
      </c>
      <c r="D17" s="1" t="str">
        <f t="shared" si="5"/>
        <v>融资买入</v>
      </c>
      <c r="E17" s="1">
        <v>4.37</v>
      </c>
      <c r="F17" s="1">
        <v>3000</v>
      </c>
      <c r="G17" s="1">
        <v>13110</v>
      </c>
      <c r="H17" s="1">
        <v>5</v>
      </c>
      <c r="I17" s="1">
        <v>3.84</v>
      </c>
      <c r="J17" s="1">
        <v>0</v>
      </c>
      <c r="K17" s="1">
        <v>0</v>
      </c>
      <c r="L17" s="1">
        <v>0</v>
      </c>
      <c r="M17" s="1">
        <v>0</v>
      </c>
      <c r="N17" s="1">
        <v>-13115</v>
      </c>
      <c r="O17" s="1">
        <v>-12794.24</v>
      </c>
      <c r="P17" s="1">
        <v>24000</v>
      </c>
      <c r="Q17" s="1" t="str">
        <f t="shared" si="6"/>
        <v>0602175409</v>
      </c>
      <c r="R17" s="1" t="str">
        <f t="shared" si="0"/>
        <v>人民币</v>
      </c>
      <c r="S17" s="1" t="str">
        <f>"T4000035"</f>
        <v>T4000035</v>
      </c>
    </row>
    <row r="18" spans="1:19">
      <c r="A18" s="1" t="str">
        <f t="shared" si="8"/>
        <v>20220125</v>
      </c>
      <c r="B18" s="1" t="str">
        <f>"000543"</f>
        <v>000543</v>
      </c>
      <c r="C18" s="1" t="str">
        <f>"皖能电力"</f>
        <v>皖能电力</v>
      </c>
      <c r="D18" s="1" t="str">
        <f t="shared" si="5"/>
        <v>融资买入</v>
      </c>
      <c r="E18" s="1">
        <v>4.15</v>
      </c>
      <c r="F18" s="1">
        <v>3000</v>
      </c>
      <c r="G18" s="1">
        <v>12450</v>
      </c>
      <c r="H18" s="1">
        <v>5</v>
      </c>
      <c r="I18" s="1">
        <v>3.89</v>
      </c>
      <c r="J18" s="1">
        <v>0</v>
      </c>
      <c r="K18" s="1">
        <v>0</v>
      </c>
      <c r="L18" s="1">
        <v>0</v>
      </c>
      <c r="M18" s="1">
        <v>0</v>
      </c>
      <c r="N18" s="1">
        <v>-12455</v>
      </c>
      <c r="O18" s="1">
        <v>-25249.24</v>
      </c>
      <c r="P18" s="1">
        <v>27000</v>
      </c>
      <c r="Q18" s="1" t="str">
        <f t="shared" si="6"/>
        <v>0602175409</v>
      </c>
      <c r="R18" s="1" t="str">
        <f t="shared" si="0"/>
        <v>人民币</v>
      </c>
      <c r="S18" s="1" t="str">
        <f>"T4000355"</f>
        <v>T4000355</v>
      </c>
    </row>
    <row r="19" spans="1:19">
      <c r="A19" s="1" t="str">
        <f t="shared" si="8"/>
        <v>20220125</v>
      </c>
      <c r="D19" s="1" t="str">
        <f t="shared" si="7"/>
        <v>融资借入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13115</v>
      </c>
      <c r="O19" s="1">
        <v>-12134.24</v>
      </c>
      <c r="P19" s="1">
        <v>0</v>
      </c>
      <c r="R19" s="1" t="str">
        <f t="shared" si="0"/>
        <v>人民币</v>
      </c>
      <c r="S19" s="1" t="str">
        <f>"T4000035"</f>
        <v>T4000035</v>
      </c>
    </row>
    <row r="20" spans="1:19">
      <c r="A20" s="1" t="str">
        <f t="shared" si="8"/>
        <v>20220125</v>
      </c>
      <c r="D20" s="1" t="str">
        <f t="shared" si="7"/>
        <v>融资借入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12455</v>
      </c>
      <c r="O20" s="1">
        <v>320.76</v>
      </c>
      <c r="P20" s="1">
        <v>0</v>
      </c>
      <c r="R20" s="1" t="str">
        <f t="shared" si="0"/>
        <v>人民币</v>
      </c>
      <c r="S20" s="1" t="str">
        <f>"T4000355"</f>
        <v>T4000355</v>
      </c>
    </row>
    <row r="21" spans="1:19">
      <c r="A21" s="1" t="str">
        <f t="shared" ref="A21:A24" si="9">"20220127"</f>
        <v>20220127</v>
      </c>
      <c r="B21" s="1" t="str">
        <f t="shared" ref="B21:B26" si="10">"159781"</f>
        <v>159781</v>
      </c>
      <c r="C21" s="1" t="str">
        <f t="shared" ref="C21:C26" si="11">"科创创业"</f>
        <v>科创创业</v>
      </c>
      <c r="D21" s="1" t="str">
        <f t="shared" ref="D21:D26" si="12">"融资买入"</f>
        <v>融资买入</v>
      </c>
      <c r="E21" s="1">
        <v>0.749</v>
      </c>
      <c r="F21" s="1">
        <v>14000</v>
      </c>
      <c r="G21" s="1">
        <v>10486</v>
      </c>
      <c r="H21" s="1">
        <v>5</v>
      </c>
      <c r="I21" s="1">
        <v>4.58</v>
      </c>
      <c r="J21" s="1">
        <v>0</v>
      </c>
      <c r="K21" s="1">
        <v>0</v>
      </c>
      <c r="L21" s="1">
        <v>0</v>
      </c>
      <c r="M21" s="1">
        <v>0</v>
      </c>
      <c r="N21" s="1">
        <v>-10491</v>
      </c>
      <c r="O21" s="1">
        <v>-10170.24</v>
      </c>
      <c r="P21" s="1">
        <v>56000</v>
      </c>
      <c r="Q21" s="1" t="str">
        <f t="shared" ref="Q21:Q26" si="13">"0602175409"</f>
        <v>0602175409</v>
      </c>
      <c r="R21" s="1" t="str">
        <f t="shared" si="0"/>
        <v>人民币</v>
      </c>
      <c r="S21" s="1" t="str">
        <f>"T4000045"</f>
        <v>T4000045</v>
      </c>
    </row>
    <row r="22" spans="1:19">
      <c r="A22" s="1" t="str">
        <f t="shared" si="9"/>
        <v>20220127</v>
      </c>
      <c r="B22" s="1" t="str">
        <f t="shared" si="10"/>
        <v>159781</v>
      </c>
      <c r="C22" s="1" t="str">
        <f t="shared" si="11"/>
        <v>科创创业</v>
      </c>
      <c r="D22" s="1" t="str">
        <f t="shared" si="12"/>
        <v>融资买入</v>
      </c>
      <c r="E22" s="1">
        <v>0.734</v>
      </c>
      <c r="F22" s="1">
        <v>14000</v>
      </c>
      <c r="G22" s="1">
        <v>10276</v>
      </c>
      <c r="H22" s="1">
        <v>5</v>
      </c>
      <c r="I22" s="1">
        <v>4.59</v>
      </c>
      <c r="J22" s="1">
        <v>0</v>
      </c>
      <c r="K22" s="1">
        <v>0</v>
      </c>
      <c r="L22" s="1">
        <v>0</v>
      </c>
      <c r="M22" s="1">
        <v>0</v>
      </c>
      <c r="N22" s="1">
        <v>-10281</v>
      </c>
      <c r="O22" s="1">
        <v>-20451.24</v>
      </c>
      <c r="P22" s="1">
        <v>70000</v>
      </c>
      <c r="Q22" s="1" t="str">
        <f t="shared" si="13"/>
        <v>0602175409</v>
      </c>
      <c r="R22" s="1" t="str">
        <f t="shared" si="0"/>
        <v>人民币</v>
      </c>
      <c r="S22" s="1" t="str">
        <f>"T4000386"</f>
        <v>T4000386</v>
      </c>
    </row>
    <row r="23" spans="1:19">
      <c r="A23" s="1" t="str">
        <f t="shared" si="9"/>
        <v>20220127</v>
      </c>
      <c r="D23" s="1" t="str">
        <f t="shared" ref="D23:D27" si="14">"融资借入"</f>
        <v>融资借入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10491</v>
      </c>
      <c r="O23" s="1">
        <v>-9960.24</v>
      </c>
      <c r="P23" s="1">
        <v>0</v>
      </c>
      <c r="R23" s="1" t="str">
        <f t="shared" si="0"/>
        <v>人民币</v>
      </c>
      <c r="S23" s="1" t="str">
        <f>"T4000045"</f>
        <v>T4000045</v>
      </c>
    </row>
    <row r="24" spans="1:19">
      <c r="A24" s="1" t="str">
        <f t="shared" si="9"/>
        <v>20220127</v>
      </c>
      <c r="D24" s="1" t="str">
        <f t="shared" si="14"/>
        <v>融资借入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10281</v>
      </c>
      <c r="O24" s="1">
        <v>320.76</v>
      </c>
      <c r="P24" s="1">
        <v>0</v>
      </c>
      <c r="R24" s="1" t="str">
        <f t="shared" si="0"/>
        <v>人民币</v>
      </c>
      <c r="S24" s="1" t="str">
        <f>"T4000386"</f>
        <v>T4000386</v>
      </c>
    </row>
    <row r="25" spans="1:19">
      <c r="A25" s="1" t="str">
        <f t="shared" ref="A25:A29" si="15">"20220207"</f>
        <v>20220207</v>
      </c>
      <c r="B25" s="1" t="str">
        <f t="shared" si="10"/>
        <v>159781</v>
      </c>
      <c r="C25" s="1" t="str">
        <f t="shared" si="11"/>
        <v>科创创业</v>
      </c>
      <c r="D25" s="1" t="str">
        <f>"卖券还款"</f>
        <v>卖券还款</v>
      </c>
      <c r="E25" s="1">
        <v>0.749</v>
      </c>
      <c r="F25" s="1">
        <v>14000</v>
      </c>
      <c r="G25" s="1">
        <v>10486</v>
      </c>
      <c r="H25" s="1">
        <v>5</v>
      </c>
      <c r="I25" s="1">
        <v>4.58</v>
      </c>
      <c r="J25" s="1">
        <v>0</v>
      </c>
      <c r="K25" s="1">
        <v>0</v>
      </c>
      <c r="L25" s="1">
        <v>0</v>
      </c>
      <c r="M25" s="1">
        <v>0</v>
      </c>
      <c r="N25" s="1">
        <v>10481</v>
      </c>
      <c r="O25" s="1">
        <v>10801.76</v>
      </c>
      <c r="P25" s="1">
        <v>56000</v>
      </c>
      <c r="Q25" s="1" t="str">
        <f t="shared" si="13"/>
        <v>0602175409</v>
      </c>
      <c r="R25" s="1" t="str">
        <f t="shared" si="0"/>
        <v>人民币</v>
      </c>
      <c r="S25" s="1" t="str">
        <f t="shared" ref="S25:S29" si="16">"T4000018"</f>
        <v>T4000018</v>
      </c>
    </row>
    <row r="26" spans="1:19">
      <c r="A26" s="1" t="str">
        <f t="shared" si="15"/>
        <v>20220207</v>
      </c>
      <c r="B26" s="1" t="str">
        <f t="shared" si="10"/>
        <v>159781</v>
      </c>
      <c r="C26" s="1" t="str">
        <f t="shared" si="11"/>
        <v>科创创业</v>
      </c>
      <c r="D26" s="1" t="str">
        <f t="shared" si="12"/>
        <v>融资买入</v>
      </c>
      <c r="E26" s="1">
        <v>0.734</v>
      </c>
      <c r="F26" s="1">
        <v>14000</v>
      </c>
      <c r="G26" s="1">
        <v>10276</v>
      </c>
      <c r="H26" s="1">
        <v>5</v>
      </c>
      <c r="I26" s="1">
        <v>4.59</v>
      </c>
      <c r="J26" s="1">
        <v>0</v>
      </c>
      <c r="K26" s="1">
        <v>0</v>
      </c>
      <c r="L26" s="1">
        <v>0</v>
      </c>
      <c r="M26" s="1">
        <v>0</v>
      </c>
      <c r="N26" s="1">
        <v>-10281</v>
      </c>
      <c r="O26" s="1">
        <v>520.76</v>
      </c>
      <c r="P26" s="1">
        <v>70000</v>
      </c>
      <c r="Q26" s="1" t="str">
        <f t="shared" si="13"/>
        <v>0602175409</v>
      </c>
      <c r="R26" s="1" t="str">
        <f t="shared" si="0"/>
        <v>人民币</v>
      </c>
      <c r="S26" s="1" t="str">
        <f>"T4000161"</f>
        <v>T4000161</v>
      </c>
    </row>
    <row r="27" spans="1:19">
      <c r="A27" s="1" t="str">
        <f t="shared" si="15"/>
        <v>20220207</v>
      </c>
      <c r="D27" s="1" t="str">
        <f t="shared" si="14"/>
        <v>融资借入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10281</v>
      </c>
      <c r="O27" s="1">
        <v>10801.76</v>
      </c>
      <c r="P27" s="1">
        <v>0</v>
      </c>
      <c r="R27" s="1" t="str">
        <f t="shared" si="0"/>
        <v>人民币</v>
      </c>
      <c r="S27" s="1" t="str">
        <f>"T4000161"</f>
        <v>T4000161</v>
      </c>
    </row>
    <row r="28" spans="1:19">
      <c r="A28" s="1" t="str">
        <f t="shared" si="15"/>
        <v>20220207</v>
      </c>
      <c r="D28" s="1" t="str">
        <f>"偿还融资利息"</f>
        <v>偿还融资利息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-54.35</v>
      </c>
      <c r="O28" s="1">
        <v>10747.41</v>
      </c>
      <c r="P28" s="1">
        <v>0</v>
      </c>
      <c r="R28" s="1" t="str">
        <f t="shared" si="0"/>
        <v>人民币</v>
      </c>
      <c r="S28" s="1" t="str">
        <f t="shared" si="16"/>
        <v>T4000018</v>
      </c>
    </row>
    <row r="29" spans="1:19">
      <c r="A29" s="1" t="str">
        <f t="shared" si="15"/>
        <v>20220207</v>
      </c>
      <c r="D29" s="1" t="str">
        <f>"偿还融资负债本金"</f>
        <v>偿还融资负债本金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-10400.09</v>
      </c>
      <c r="O29" s="1">
        <v>347.32</v>
      </c>
      <c r="P29" s="1">
        <v>0</v>
      </c>
      <c r="R29" s="1" t="str">
        <f t="shared" si="0"/>
        <v>人民币</v>
      </c>
      <c r="S29" s="1" t="str">
        <f t="shared" si="16"/>
        <v>T4000018</v>
      </c>
    </row>
    <row r="30" spans="1:19">
      <c r="A30" s="1" t="str">
        <f>"20220208"</f>
        <v>20220208</v>
      </c>
      <c r="B30" s="1" t="str">
        <f t="shared" ref="B30:B35" si="17">"159781"</f>
        <v>159781</v>
      </c>
      <c r="C30" s="1" t="str">
        <f t="shared" ref="C30:C35" si="18">"科创创业"</f>
        <v>科创创业</v>
      </c>
      <c r="D30" s="1" t="str">
        <f t="shared" ref="D30:D34" si="19">"融资买入"</f>
        <v>融资买入</v>
      </c>
      <c r="E30" s="1">
        <v>0.719</v>
      </c>
      <c r="F30" s="1">
        <v>14000</v>
      </c>
      <c r="G30" s="1">
        <v>10066</v>
      </c>
      <c r="H30" s="1">
        <v>5</v>
      </c>
      <c r="I30" s="1">
        <v>4.6</v>
      </c>
      <c r="J30" s="1">
        <v>0</v>
      </c>
      <c r="K30" s="1">
        <v>0</v>
      </c>
      <c r="L30" s="1">
        <v>0</v>
      </c>
      <c r="M30" s="1">
        <v>0</v>
      </c>
      <c r="N30" s="1">
        <v>-10071</v>
      </c>
      <c r="O30" s="1">
        <v>-9723.68</v>
      </c>
      <c r="P30" s="1">
        <v>84000</v>
      </c>
      <c r="Q30" s="1" t="str">
        <f t="shared" ref="Q30:Q35" si="20">"0602175409"</f>
        <v>0602175409</v>
      </c>
      <c r="R30" s="1" t="str">
        <f t="shared" si="0"/>
        <v>人民币</v>
      </c>
      <c r="S30" s="1" t="str">
        <f>"T4000029"</f>
        <v>T4000029</v>
      </c>
    </row>
    <row r="31" spans="1:19">
      <c r="A31" s="1" t="str">
        <f>"20220208"</f>
        <v>20220208</v>
      </c>
      <c r="D31" s="1" t="str">
        <f t="shared" ref="D31:D36" si="21">"融资借入"</f>
        <v>融资借入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10071</v>
      </c>
      <c r="O31" s="1">
        <v>347.32</v>
      </c>
      <c r="P31" s="1">
        <v>0</v>
      </c>
      <c r="R31" s="1" t="str">
        <f t="shared" si="0"/>
        <v>人民币</v>
      </c>
      <c r="S31" s="1" t="str">
        <f>"T4000029"</f>
        <v>T4000029</v>
      </c>
    </row>
    <row r="32" spans="1:19">
      <c r="A32" s="1" t="str">
        <f>"20220211"</f>
        <v>20220211</v>
      </c>
      <c r="B32" s="1" t="str">
        <f t="shared" si="17"/>
        <v>159781</v>
      </c>
      <c r="C32" s="1" t="str">
        <f t="shared" si="18"/>
        <v>科创创业</v>
      </c>
      <c r="D32" s="1" t="str">
        <f t="shared" si="19"/>
        <v>融资买入</v>
      </c>
      <c r="E32" s="1">
        <v>0.694</v>
      </c>
      <c r="F32" s="1">
        <v>14000</v>
      </c>
      <c r="G32" s="1">
        <v>9716</v>
      </c>
      <c r="H32" s="1">
        <v>5</v>
      </c>
      <c r="I32" s="1">
        <v>4.61</v>
      </c>
      <c r="J32" s="1">
        <v>0</v>
      </c>
      <c r="K32" s="1">
        <v>0</v>
      </c>
      <c r="L32" s="1">
        <v>0</v>
      </c>
      <c r="M32" s="1">
        <v>0</v>
      </c>
      <c r="N32" s="1">
        <v>-9721</v>
      </c>
      <c r="O32" s="1">
        <v>-9373.68</v>
      </c>
      <c r="P32" s="1">
        <v>98000</v>
      </c>
      <c r="Q32" s="1" t="str">
        <f t="shared" si="20"/>
        <v>0602175409</v>
      </c>
      <c r="R32" s="1" t="str">
        <f t="shared" si="0"/>
        <v>人民币</v>
      </c>
      <c r="S32" s="1" t="str">
        <f>"T4000871"</f>
        <v>T4000871</v>
      </c>
    </row>
    <row r="33" spans="1:19">
      <c r="A33" s="1" t="str">
        <f>"20220211"</f>
        <v>20220211</v>
      </c>
      <c r="D33" s="1" t="str">
        <f t="shared" si="21"/>
        <v>融资借入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9721</v>
      </c>
      <c r="O33" s="1">
        <v>347.32</v>
      </c>
      <c r="P33" s="1">
        <v>0</v>
      </c>
      <c r="R33" s="1" t="str">
        <f t="shared" si="0"/>
        <v>人民币</v>
      </c>
      <c r="S33" s="1" t="str">
        <f>"T4000871"</f>
        <v>T4000871</v>
      </c>
    </row>
    <row r="34" spans="1:19">
      <c r="A34" s="1" t="str">
        <f t="shared" ref="A34:A41" si="22">"20220217"</f>
        <v>20220217</v>
      </c>
      <c r="B34" s="1" t="str">
        <f>"000543"</f>
        <v>000543</v>
      </c>
      <c r="C34" s="1" t="str">
        <f>"皖能电力"</f>
        <v>皖能电力</v>
      </c>
      <c r="D34" s="1" t="str">
        <f t="shared" si="19"/>
        <v>融资买入</v>
      </c>
      <c r="E34" s="1">
        <v>4.17</v>
      </c>
      <c r="F34" s="1">
        <v>3000</v>
      </c>
      <c r="G34" s="1">
        <v>12510</v>
      </c>
      <c r="H34" s="1">
        <v>5</v>
      </c>
      <c r="I34" s="1">
        <v>3.89</v>
      </c>
      <c r="J34" s="1">
        <v>0</v>
      </c>
      <c r="K34" s="1">
        <v>0</v>
      </c>
      <c r="L34" s="1">
        <v>0</v>
      </c>
      <c r="M34" s="1">
        <v>0</v>
      </c>
      <c r="N34" s="1">
        <v>-12515</v>
      </c>
      <c r="O34" s="1">
        <v>-12167.68</v>
      </c>
      <c r="P34" s="1">
        <v>30000</v>
      </c>
      <c r="Q34" s="1" t="str">
        <f t="shared" si="20"/>
        <v>0602175409</v>
      </c>
      <c r="R34" s="1" t="str">
        <f t="shared" si="0"/>
        <v>人民币</v>
      </c>
      <c r="S34" s="1" t="str">
        <f>"T4000705"</f>
        <v>T4000705</v>
      </c>
    </row>
    <row r="35" spans="1:19">
      <c r="A35" s="1" t="str">
        <f t="shared" si="22"/>
        <v>20220217</v>
      </c>
      <c r="B35" s="1" t="str">
        <f t="shared" si="17"/>
        <v>159781</v>
      </c>
      <c r="C35" s="1" t="str">
        <f t="shared" si="18"/>
        <v>科创创业</v>
      </c>
      <c r="D35" s="1" t="str">
        <f>"卖券还款"</f>
        <v>卖券还款</v>
      </c>
      <c r="E35" s="1">
        <v>0.714</v>
      </c>
      <c r="F35" s="1">
        <v>14000</v>
      </c>
      <c r="G35" s="1">
        <v>9996</v>
      </c>
      <c r="H35" s="1">
        <v>5</v>
      </c>
      <c r="I35" s="1">
        <v>4.6</v>
      </c>
      <c r="J35" s="1">
        <v>0</v>
      </c>
      <c r="K35" s="1">
        <v>0</v>
      </c>
      <c r="L35" s="1">
        <v>0</v>
      </c>
      <c r="M35" s="1">
        <v>0</v>
      </c>
      <c r="N35" s="1">
        <v>9991</v>
      </c>
      <c r="O35" s="1">
        <v>-2176.68</v>
      </c>
      <c r="P35" s="1">
        <v>84000</v>
      </c>
      <c r="Q35" s="1" t="str">
        <f t="shared" si="20"/>
        <v>0602175409</v>
      </c>
      <c r="R35" s="1" t="str">
        <f t="shared" si="0"/>
        <v>人民币</v>
      </c>
      <c r="S35" s="1" t="str">
        <f t="shared" ref="S35:S41" si="23">"T4000714"</f>
        <v>T4000714</v>
      </c>
    </row>
    <row r="36" spans="1:19">
      <c r="A36" s="1" t="str">
        <f t="shared" si="22"/>
        <v>20220217</v>
      </c>
      <c r="D36" s="1" t="str">
        <f t="shared" si="21"/>
        <v>融资借入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12515</v>
      </c>
      <c r="O36" s="1">
        <v>10338.32</v>
      </c>
      <c r="P36" s="1">
        <v>0</v>
      </c>
      <c r="R36" s="1" t="str">
        <f t="shared" si="0"/>
        <v>人民币</v>
      </c>
      <c r="S36" s="1" t="str">
        <f>"T4000705"</f>
        <v>T4000705</v>
      </c>
    </row>
    <row r="37" spans="1:19">
      <c r="A37" s="1" t="str">
        <f t="shared" si="22"/>
        <v>20220217</v>
      </c>
      <c r="D37" s="1" t="str">
        <f>"偿还融资利息"</f>
        <v>偿还融资利息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-7.81</v>
      </c>
      <c r="O37" s="1">
        <v>10330.51</v>
      </c>
      <c r="P37" s="1">
        <v>0</v>
      </c>
      <c r="R37" s="1" t="str">
        <f t="shared" si="0"/>
        <v>人民币</v>
      </c>
      <c r="S37" s="1" t="str">
        <f t="shared" si="23"/>
        <v>T4000714</v>
      </c>
    </row>
    <row r="38" spans="1:19">
      <c r="A38" s="1" t="str">
        <f t="shared" si="22"/>
        <v>20220217</v>
      </c>
      <c r="D38" s="1" t="str">
        <f>"偿还融资负债本金"</f>
        <v>偿还融资负债本金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-3378.43</v>
      </c>
      <c r="O38" s="1">
        <v>6952.08</v>
      </c>
      <c r="P38" s="1">
        <v>0</v>
      </c>
      <c r="R38" s="1" t="str">
        <f t="shared" si="0"/>
        <v>人民币</v>
      </c>
      <c r="S38" s="1" t="str">
        <f t="shared" si="23"/>
        <v>T4000714</v>
      </c>
    </row>
    <row r="39" spans="1:19">
      <c r="A39" s="1" t="str">
        <f t="shared" si="22"/>
        <v>20220217</v>
      </c>
      <c r="D39" s="1" t="str">
        <f>"偿还融券费用"</f>
        <v>偿还融券费用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-34.72</v>
      </c>
      <c r="O39" s="1">
        <v>6917.36</v>
      </c>
      <c r="P39" s="1">
        <v>0</v>
      </c>
      <c r="R39" s="1" t="str">
        <f t="shared" si="0"/>
        <v>人民币</v>
      </c>
      <c r="S39" s="1" t="str">
        <f t="shared" si="23"/>
        <v>T4000714</v>
      </c>
    </row>
    <row r="40" spans="1:19">
      <c r="A40" s="1" t="str">
        <f t="shared" si="22"/>
        <v>20220217</v>
      </c>
      <c r="D40" s="1" t="str">
        <f>"偿还融资利息"</f>
        <v>偿还融资利息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-177.13</v>
      </c>
      <c r="O40" s="1">
        <v>6740.23</v>
      </c>
      <c r="P40" s="1">
        <v>0</v>
      </c>
      <c r="R40" s="1" t="str">
        <f t="shared" si="0"/>
        <v>人民币</v>
      </c>
      <c r="S40" s="1" t="str">
        <f t="shared" si="23"/>
        <v>T4000714</v>
      </c>
    </row>
    <row r="41" spans="1:19">
      <c r="A41" s="1" t="str">
        <f t="shared" si="22"/>
        <v>20220217</v>
      </c>
      <c r="D41" s="1" t="str">
        <f>"偿还融资负债本金"</f>
        <v>偿还融资负债本金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-6367.92</v>
      </c>
      <c r="O41" s="1">
        <v>372.31</v>
      </c>
      <c r="P41" s="1">
        <v>0</v>
      </c>
      <c r="R41" s="1" t="str">
        <f t="shared" si="0"/>
        <v>人民币</v>
      </c>
      <c r="S41" s="1" t="str">
        <f t="shared" si="23"/>
        <v>T4000714</v>
      </c>
    </row>
    <row r="42" spans="1:19">
      <c r="A42" s="1" t="str">
        <f t="shared" ref="A42:A49" si="24">"20220218"</f>
        <v>20220218</v>
      </c>
      <c r="B42" s="1" t="str">
        <f>"000543"</f>
        <v>000543</v>
      </c>
      <c r="C42" s="1" t="str">
        <f>"皖能电力"</f>
        <v>皖能电力</v>
      </c>
      <c r="D42" s="1" t="str">
        <f>"卖券还款"</f>
        <v>卖券还款</v>
      </c>
      <c r="E42" s="1">
        <v>4.36</v>
      </c>
      <c r="F42" s="1">
        <v>3000</v>
      </c>
      <c r="G42" s="1">
        <v>13080</v>
      </c>
      <c r="H42" s="1">
        <v>5</v>
      </c>
      <c r="I42" s="1">
        <v>3.84</v>
      </c>
      <c r="J42" s="1">
        <v>13.08</v>
      </c>
      <c r="K42" s="1">
        <v>0</v>
      </c>
      <c r="L42" s="1">
        <v>0</v>
      </c>
      <c r="M42" s="1">
        <v>0</v>
      </c>
      <c r="N42" s="1">
        <v>13061.92</v>
      </c>
      <c r="O42" s="1">
        <v>13434.23</v>
      </c>
      <c r="P42" s="1">
        <v>27000</v>
      </c>
      <c r="Q42" s="1" t="str">
        <f>"0602175409"</f>
        <v>0602175409</v>
      </c>
      <c r="R42" s="1" t="str">
        <f t="shared" si="0"/>
        <v>人民币</v>
      </c>
      <c r="S42" s="1" t="str">
        <f t="shared" ref="S42:S45" si="25">"T4000071"</f>
        <v>T4000071</v>
      </c>
    </row>
    <row r="43" spans="1:19">
      <c r="A43" s="1" t="str">
        <f t="shared" si="24"/>
        <v>20220218</v>
      </c>
      <c r="D43" s="1" t="str">
        <f>"偿还融券费用"</f>
        <v>偿还融券费用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-1.29</v>
      </c>
      <c r="O43" s="1">
        <v>13432.94</v>
      </c>
      <c r="P43" s="1">
        <v>0</v>
      </c>
      <c r="R43" s="1" t="str">
        <f t="shared" si="0"/>
        <v>人民币</v>
      </c>
      <c r="S43" s="1" t="str">
        <f t="shared" si="25"/>
        <v>T4000071</v>
      </c>
    </row>
    <row r="44" spans="1:19">
      <c r="A44" s="1" t="str">
        <f t="shared" si="24"/>
        <v>20220218</v>
      </c>
      <c r="D44" s="1" t="str">
        <f t="shared" ref="D44:D49" si="26">"偿还融资利息"</f>
        <v>偿还融资利息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-3.56</v>
      </c>
      <c r="O44" s="1">
        <v>13429.38</v>
      </c>
      <c r="P44" s="1">
        <v>0</v>
      </c>
      <c r="R44" s="1" t="str">
        <f t="shared" si="0"/>
        <v>人民币</v>
      </c>
      <c r="S44" s="1" t="str">
        <f t="shared" si="25"/>
        <v>T4000071</v>
      </c>
    </row>
    <row r="45" spans="1:19">
      <c r="A45" s="1" t="str">
        <f t="shared" si="24"/>
        <v>20220218</v>
      </c>
      <c r="D45" s="1" t="str">
        <f>"偿还融资负债本金"</f>
        <v>偿还融资负债本金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-13022.83</v>
      </c>
      <c r="O45" s="1">
        <v>406.55</v>
      </c>
      <c r="P45" s="1">
        <v>0</v>
      </c>
      <c r="R45" s="1" t="str">
        <f t="shared" si="0"/>
        <v>人民币</v>
      </c>
      <c r="S45" s="1" t="str">
        <f t="shared" si="25"/>
        <v>T4000071</v>
      </c>
    </row>
    <row r="46" spans="1:18">
      <c r="A46" s="1" t="str">
        <f t="shared" si="24"/>
        <v>20220218</v>
      </c>
      <c r="D46" s="1" t="str">
        <f>"偿还融券费用"</f>
        <v>偿还融券费用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-1.29</v>
      </c>
      <c r="O46" s="1">
        <v>405.26</v>
      </c>
      <c r="P46" s="1">
        <v>0</v>
      </c>
      <c r="R46" s="1" t="str">
        <f t="shared" si="0"/>
        <v>人民币</v>
      </c>
    </row>
    <row r="47" spans="1:18">
      <c r="A47" s="1" t="str">
        <f t="shared" si="24"/>
        <v>20220218</v>
      </c>
      <c r="D47" s="1" t="str">
        <f t="shared" si="26"/>
        <v>偿还融资利息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-0.54</v>
      </c>
      <c r="O47" s="1">
        <v>404.72</v>
      </c>
      <c r="P47" s="1">
        <v>0</v>
      </c>
      <c r="R47" s="1" t="str">
        <f t="shared" si="0"/>
        <v>人民币</v>
      </c>
    </row>
    <row r="48" spans="1:18">
      <c r="A48" s="1" t="str">
        <f t="shared" si="24"/>
        <v>20220218</v>
      </c>
      <c r="D48" s="1" t="str">
        <f t="shared" si="26"/>
        <v>偿还融资利息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-78.49</v>
      </c>
      <c r="O48" s="1">
        <v>326.23</v>
      </c>
      <c r="P48" s="1">
        <v>0</v>
      </c>
      <c r="R48" s="1" t="str">
        <f t="shared" si="0"/>
        <v>人民币</v>
      </c>
    </row>
    <row r="49" spans="1:18">
      <c r="A49" s="1" t="str">
        <f t="shared" si="24"/>
        <v>20220218</v>
      </c>
      <c r="D49" s="1" t="str">
        <f t="shared" si="26"/>
        <v>偿还融资利息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-5.47</v>
      </c>
      <c r="O49" s="1">
        <v>320.76</v>
      </c>
      <c r="P49" s="1">
        <v>0</v>
      </c>
      <c r="R49" s="1" t="str">
        <f t="shared" si="0"/>
        <v>人民币</v>
      </c>
    </row>
    <row r="50" spans="1:19">
      <c r="A50" s="1" t="str">
        <f t="shared" ref="A50:A55" si="27">"20220225"</f>
        <v>20220225</v>
      </c>
      <c r="B50" s="1" t="str">
        <f>"159781"</f>
        <v>159781</v>
      </c>
      <c r="C50" s="1" t="str">
        <f>"科创创业"</f>
        <v>科创创业</v>
      </c>
      <c r="D50" s="1" t="str">
        <f>"卖券还款"</f>
        <v>卖券还款</v>
      </c>
      <c r="E50" s="1">
        <v>0.733</v>
      </c>
      <c r="F50" s="1">
        <v>14000</v>
      </c>
      <c r="G50" s="1">
        <v>10262</v>
      </c>
      <c r="H50" s="1">
        <v>5</v>
      </c>
      <c r="I50" s="1">
        <v>4.59</v>
      </c>
      <c r="J50" s="1">
        <v>0</v>
      </c>
      <c r="K50" s="1">
        <v>0</v>
      </c>
      <c r="L50" s="1">
        <v>0</v>
      </c>
      <c r="M50" s="1">
        <v>0</v>
      </c>
      <c r="N50" s="1">
        <v>10257</v>
      </c>
      <c r="O50" s="1">
        <v>10577.76</v>
      </c>
      <c r="P50" s="1">
        <v>70000</v>
      </c>
      <c r="Q50" s="1" t="str">
        <f>"0602175409"</f>
        <v>0602175409</v>
      </c>
      <c r="R50" s="1" t="str">
        <f t="shared" si="0"/>
        <v>人民币</v>
      </c>
      <c r="S50" s="1" t="str">
        <f t="shared" ref="S50:S55" si="28">"T4000030"</f>
        <v>T4000030</v>
      </c>
    </row>
    <row r="51" spans="1:19">
      <c r="A51" s="1" t="str">
        <f t="shared" si="27"/>
        <v>20220225</v>
      </c>
      <c r="D51" s="1" t="str">
        <f>"偿还融券费用"</f>
        <v>偿还融券费用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-7.69</v>
      </c>
      <c r="O51" s="1">
        <v>10570.07</v>
      </c>
      <c r="P51" s="1">
        <v>0</v>
      </c>
      <c r="R51" s="1" t="str">
        <f t="shared" si="0"/>
        <v>人民币</v>
      </c>
      <c r="S51" s="1" t="str">
        <f t="shared" si="28"/>
        <v>T4000030</v>
      </c>
    </row>
    <row r="52" spans="1:19">
      <c r="A52" s="1" t="str">
        <f t="shared" si="27"/>
        <v>20220225</v>
      </c>
      <c r="D52" s="1" t="str">
        <f>"偿还融资利息"</f>
        <v>偿还融资利息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-3.25</v>
      </c>
      <c r="O52" s="1">
        <v>10566.82</v>
      </c>
      <c r="P52" s="1">
        <v>0</v>
      </c>
      <c r="R52" s="1" t="str">
        <f t="shared" si="0"/>
        <v>人民币</v>
      </c>
      <c r="S52" s="1" t="str">
        <f t="shared" si="28"/>
        <v>T4000030</v>
      </c>
    </row>
    <row r="53" spans="1:19">
      <c r="A53" s="1" t="str">
        <f t="shared" si="27"/>
        <v>20220225</v>
      </c>
      <c r="D53" s="1" t="str">
        <f>"偿还融资负债本金"</f>
        <v>偿还融资负债本金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-2343.77</v>
      </c>
      <c r="O53" s="1">
        <v>8223.05</v>
      </c>
      <c r="P53" s="1">
        <v>0</v>
      </c>
      <c r="R53" s="1" t="str">
        <f t="shared" si="0"/>
        <v>人民币</v>
      </c>
      <c r="S53" s="1" t="str">
        <f t="shared" si="28"/>
        <v>T4000030</v>
      </c>
    </row>
    <row r="54" spans="1:19">
      <c r="A54" s="1" t="str">
        <f t="shared" si="27"/>
        <v>20220225</v>
      </c>
      <c r="D54" s="1" t="str">
        <f>"偿还融资利息"</f>
        <v>偿还融资利息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-15.19</v>
      </c>
      <c r="O54" s="1">
        <v>8207.86</v>
      </c>
      <c r="P54" s="1">
        <v>0</v>
      </c>
      <c r="R54" s="1" t="str">
        <f t="shared" si="0"/>
        <v>人民币</v>
      </c>
      <c r="S54" s="1" t="str">
        <f t="shared" si="28"/>
        <v>T4000030</v>
      </c>
    </row>
    <row r="55" spans="1:19">
      <c r="A55" s="1" t="str">
        <f t="shared" si="27"/>
        <v>20220225</v>
      </c>
      <c r="D55" s="1" t="str">
        <f>"偿还融资负债本金"</f>
        <v>偿还融资负债本金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-7861.21</v>
      </c>
      <c r="O55" s="1">
        <v>346.65</v>
      </c>
      <c r="P55" s="1">
        <v>0</v>
      </c>
      <c r="R55" s="1" t="str">
        <f t="shared" si="0"/>
        <v>人民币</v>
      </c>
      <c r="S55" s="1" t="str">
        <f t="shared" si="28"/>
        <v>T4000030</v>
      </c>
    </row>
    <row r="56" spans="1:19">
      <c r="A56" s="1" t="str">
        <f>"20220302"</f>
        <v>20220302</v>
      </c>
      <c r="B56" s="1" t="str">
        <f>"159781"</f>
        <v>159781</v>
      </c>
      <c r="C56" s="1" t="str">
        <f>"科创创业"</f>
        <v>科创创业</v>
      </c>
      <c r="D56" s="1" t="str">
        <f t="shared" ref="D56:D60" si="29">"融资买入"</f>
        <v>融资买入</v>
      </c>
      <c r="E56" s="1">
        <v>0.718</v>
      </c>
      <c r="F56" s="1">
        <v>14000</v>
      </c>
      <c r="G56" s="1">
        <v>10052</v>
      </c>
      <c r="H56" s="1">
        <v>5</v>
      </c>
      <c r="I56" s="1">
        <v>4.6</v>
      </c>
      <c r="J56" s="1">
        <v>0</v>
      </c>
      <c r="K56" s="1">
        <v>0</v>
      </c>
      <c r="L56" s="1">
        <v>0</v>
      </c>
      <c r="M56" s="1">
        <v>0</v>
      </c>
      <c r="N56" s="1">
        <v>-10057</v>
      </c>
      <c r="O56" s="1">
        <v>-9710.35</v>
      </c>
      <c r="P56" s="1">
        <v>84000</v>
      </c>
      <c r="Q56" s="1" t="str">
        <f t="shared" ref="Q56:Q60" si="30">"0602175409"</f>
        <v>0602175409</v>
      </c>
      <c r="R56" s="1" t="str">
        <f t="shared" si="0"/>
        <v>人民币</v>
      </c>
      <c r="S56" s="1" t="str">
        <f>"T4000067"</f>
        <v>T4000067</v>
      </c>
    </row>
    <row r="57" spans="1:19">
      <c r="A57" s="1" t="str">
        <f>"20220302"</f>
        <v>20220302</v>
      </c>
      <c r="D57" s="1" t="str">
        <f t="shared" ref="D57:D61" si="31">"融资借入"</f>
        <v>融资借入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10057</v>
      </c>
      <c r="O57" s="1">
        <v>346.65</v>
      </c>
      <c r="P57" s="1">
        <v>0</v>
      </c>
      <c r="R57" s="1" t="str">
        <f t="shared" si="0"/>
        <v>人民币</v>
      </c>
      <c r="S57" s="1" t="str">
        <f>"T4000067"</f>
        <v>T4000067</v>
      </c>
    </row>
    <row r="58" spans="1:19">
      <c r="A58" s="1" t="str">
        <f>"20220307"</f>
        <v>20220307</v>
      </c>
      <c r="B58" s="1" t="str">
        <f>"159781"</f>
        <v>159781</v>
      </c>
      <c r="C58" s="1" t="str">
        <f>"科创创业"</f>
        <v>科创创业</v>
      </c>
      <c r="D58" s="1" t="str">
        <f t="shared" si="29"/>
        <v>融资买入</v>
      </c>
      <c r="E58" s="1">
        <v>0.686</v>
      </c>
      <c r="F58" s="1">
        <v>14000</v>
      </c>
      <c r="G58" s="1">
        <v>9604</v>
      </c>
      <c r="H58" s="1">
        <v>5</v>
      </c>
      <c r="I58" s="1">
        <v>4.62</v>
      </c>
      <c r="J58" s="1">
        <v>0</v>
      </c>
      <c r="K58" s="1">
        <v>0</v>
      </c>
      <c r="L58" s="1">
        <v>0</v>
      </c>
      <c r="M58" s="1">
        <v>0</v>
      </c>
      <c r="N58" s="1">
        <v>-9609</v>
      </c>
      <c r="O58" s="1">
        <v>-9262.35</v>
      </c>
      <c r="P58" s="1">
        <v>98000</v>
      </c>
      <c r="Q58" s="1" t="str">
        <f t="shared" si="30"/>
        <v>0602175409</v>
      </c>
      <c r="R58" s="1" t="str">
        <f t="shared" si="0"/>
        <v>人民币</v>
      </c>
      <c r="S58" s="1" t="str">
        <f>"T4000305"</f>
        <v>T4000305</v>
      </c>
    </row>
    <row r="59" spans="1:19">
      <c r="A59" s="1" t="str">
        <f>"20220307"</f>
        <v>20220307</v>
      </c>
      <c r="D59" s="1" t="str">
        <f t="shared" si="31"/>
        <v>融资借入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9609</v>
      </c>
      <c r="O59" s="1">
        <v>346.65</v>
      </c>
      <c r="P59" s="1">
        <v>0</v>
      </c>
      <c r="R59" s="1" t="str">
        <f t="shared" si="0"/>
        <v>人民币</v>
      </c>
      <c r="S59" s="1" t="str">
        <f>"T4000305"</f>
        <v>T4000305</v>
      </c>
    </row>
    <row r="60" spans="1:19">
      <c r="A60" s="1" t="str">
        <f>"20220308"</f>
        <v>20220308</v>
      </c>
      <c r="B60" s="1" t="str">
        <f t="shared" ref="B60:B63" si="32">"000543"</f>
        <v>000543</v>
      </c>
      <c r="C60" s="1" t="str">
        <f t="shared" ref="C60:C63" si="33">"皖能电力"</f>
        <v>皖能电力</v>
      </c>
      <c r="D60" s="1" t="str">
        <f t="shared" si="29"/>
        <v>融资买入</v>
      </c>
      <c r="E60" s="1">
        <v>4.14</v>
      </c>
      <c r="F60" s="1">
        <v>3000</v>
      </c>
      <c r="G60" s="1">
        <v>12420</v>
      </c>
      <c r="H60" s="1">
        <v>5</v>
      </c>
      <c r="I60" s="1">
        <v>3.9</v>
      </c>
      <c r="J60" s="1">
        <v>0</v>
      </c>
      <c r="K60" s="1">
        <v>0</v>
      </c>
      <c r="L60" s="1">
        <v>0</v>
      </c>
      <c r="M60" s="1">
        <v>0</v>
      </c>
      <c r="N60" s="1">
        <v>-12425</v>
      </c>
      <c r="O60" s="1">
        <v>-12078.35</v>
      </c>
      <c r="P60" s="1">
        <v>30000</v>
      </c>
      <c r="Q60" s="1" t="str">
        <f t="shared" si="30"/>
        <v>0602175409</v>
      </c>
      <c r="R60" s="1" t="str">
        <f t="shared" si="0"/>
        <v>人民币</v>
      </c>
      <c r="S60" s="1" t="str">
        <f>"T4000047"</f>
        <v>T4000047</v>
      </c>
    </row>
    <row r="61" spans="1:19">
      <c r="A61" s="1" t="str">
        <f>"20220308"</f>
        <v>20220308</v>
      </c>
      <c r="D61" s="1" t="str">
        <f t="shared" si="31"/>
        <v>融资借入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12425</v>
      </c>
      <c r="O61" s="1">
        <v>346.65</v>
      </c>
      <c r="P61" s="1">
        <v>0</v>
      </c>
      <c r="R61" s="1" t="str">
        <f t="shared" si="0"/>
        <v>人民币</v>
      </c>
      <c r="S61" s="1" t="str">
        <f>"T4000047"</f>
        <v>T4000047</v>
      </c>
    </row>
    <row r="62" spans="1:19">
      <c r="A62" s="1" t="str">
        <f t="shared" ref="A62:A69" si="34">"20220309"</f>
        <v>20220309</v>
      </c>
      <c r="B62" s="1" t="str">
        <f t="shared" si="32"/>
        <v>000543</v>
      </c>
      <c r="C62" s="1" t="str">
        <f t="shared" si="33"/>
        <v>皖能电力</v>
      </c>
      <c r="D62" s="1" t="str">
        <f>"卖券还款"</f>
        <v>卖券还款</v>
      </c>
      <c r="E62" s="1">
        <v>4.35</v>
      </c>
      <c r="F62" s="1">
        <v>3000</v>
      </c>
      <c r="G62" s="1">
        <v>13050</v>
      </c>
      <c r="H62" s="1">
        <v>5</v>
      </c>
      <c r="I62" s="1">
        <v>3.84</v>
      </c>
      <c r="J62" s="1">
        <v>13.06</v>
      </c>
      <c r="K62" s="1">
        <v>0</v>
      </c>
      <c r="L62" s="1">
        <v>0</v>
      </c>
      <c r="M62" s="1">
        <v>0</v>
      </c>
      <c r="N62" s="1">
        <v>13031.94</v>
      </c>
      <c r="O62" s="1">
        <v>13378.59</v>
      </c>
      <c r="P62" s="1">
        <v>27000</v>
      </c>
      <c r="Q62" s="1" t="str">
        <f>"0602175409"</f>
        <v>0602175409</v>
      </c>
      <c r="R62" s="1" t="str">
        <f t="shared" si="0"/>
        <v>人民币</v>
      </c>
      <c r="S62" s="1" t="str">
        <f t="shared" ref="S62:S69" si="35">"T4000025"</f>
        <v>T4000025</v>
      </c>
    </row>
    <row r="63" spans="1:19">
      <c r="A63" s="1" t="str">
        <f t="shared" si="34"/>
        <v>20220309</v>
      </c>
      <c r="B63" s="1" t="str">
        <f t="shared" si="32"/>
        <v>000543</v>
      </c>
      <c r="C63" s="1" t="str">
        <f t="shared" si="33"/>
        <v>皖能电力</v>
      </c>
      <c r="D63" s="1" t="str">
        <f>"融资买入"</f>
        <v>融资买入</v>
      </c>
      <c r="E63" s="1">
        <v>4.13</v>
      </c>
      <c r="F63" s="1">
        <v>3000</v>
      </c>
      <c r="G63" s="1">
        <v>12390</v>
      </c>
      <c r="H63" s="1">
        <v>5</v>
      </c>
      <c r="I63" s="1">
        <v>3.9</v>
      </c>
      <c r="J63" s="1">
        <v>0</v>
      </c>
      <c r="K63" s="1">
        <v>0</v>
      </c>
      <c r="L63" s="1">
        <v>0</v>
      </c>
      <c r="M63" s="1">
        <v>0</v>
      </c>
      <c r="N63" s="1">
        <v>-12395</v>
      </c>
      <c r="O63" s="1">
        <v>983.59</v>
      </c>
      <c r="P63" s="1">
        <v>30000</v>
      </c>
      <c r="Q63" s="1" t="str">
        <f>"0602175409"</f>
        <v>0602175409</v>
      </c>
      <c r="R63" s="1" t="str">
        <f t="shared" si="0"/>
        <v>人民币</v>
      </c>
      <c r="S63" s="1" t="str">
        <f>"T4000300"</f>
        <v>T4000300</v>
      </c>
    </row>
    <row r="64" spans="1:19">
      <c r="A64" s="1" t="str">
        <f t="shared" si="34"/>
        <v>20220309</v>
      </c>
      <c r="D64" s="1" t="str">
        <f>"融资借入"</f>
        <v>融资借入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12395</v>
      </c>
      <c r="O64" s="1">
        <v>13378.59</v>
      </c>
      <c r="P64" s="1">
        <v>0</v>
      </c>
      <c r="R64" s="1" t="str">
        <f t="shared" si="0"/>
        <v>人民币</v>
      </c>
      <c r="S64" s="1" t="str">
        <f>"T4000300"</f>
        <v>T4000300</v>
      </c>
    </row>
    <row r="65" spans="1:19">
      <c r="A65" s="1" t="str">
        <f t="shared" si="34"/>
        <v>20220309</v>
      </c>
      <c r="D65" s="1" t="str">
        <f>"偿还融券费用"</f>
        <v>偿还融券费用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-15.05</v>
      </c>
      <c r="O65" s="1">
        <v>13363.54</v>
      </c>
      <c r="P65" s="1">
        <v>0</v>
      </c>
      <c r="R65" s="1" t="str">
        <f t="shared" si="0"/>
        <v>人民币</v>
      </c>
      <c r="S65" s="1" t="str">
        <f t="shared" si="35"/>
        <v>T4000025</v>
      </c>
    </row>
    <row r="66" spans="1:19">
      <c r="A66" s="1" t="str">
        <f t="shared" si="34"/>
        <v>20220309</v>
      </c>
      <c r="D66" s="1" t="str">
        <f>"偿还融资利息"</f>
        <v>偿还融资利息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-8.52</v>
      </c>
      <c r="O66" s="1">
        <v>13355.02</v>
      </c>
      <c r="P66" s="1">
        <v>0</v>
      </c>
      <c r="R66" s="1" t="str">
        <f t="shared" ref="R66:R111" si="36">"人民币"</f>
        <v>人民币</v>
      </c>
      <c r="S66" s="1" t="str">
        <f t="shared" si="35"/>
        <v>T4000025</v>
      </c>
    </row>
    <row r="67" spans="1:19">
      <c r="A67" s="1" t="str">
        <f t="shared" si="34"/>
        <v>20220309</v>
      </c>
      <c r="D67" s="1" t="str">
        <f>"偿还融资负债本金"</f>
        <v>偿还融资负债本金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-3063.79</v>
      </c>
      <c r="O67" s="1">
        <v>10291.23</v>
      </c>
      <c r="P67" s="1">
        <v>0</v>
      </c>
      <c r="R67" s="1" t="str">
        <f t="shared" si="36"/>
        <v>人民币</v>
      </c>
      <c r="S67" s="1" t="str">
        <f t="shared" si="35"/>
        <v>T4000025</v>
      </c>
    </row>
    <row r="68" spans="1:19">
      <c r="A68" s="1" t="str">
        <f t="shared" si="34"/>
        <v>20220309</v>
      </c>
      <c r="D68" s="1" t="str">
        <f>"偿还融资利息"</f>
        <v>偿还融资利息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-111.11</v>
      </c>
      <c r="O68" s="1">
        <v>10180.12</v>
      </c>
      <c r="P68" s="1">
        <v>0</v>
      </c>
      <c r="R68" s="1" t="str">
        <f t="shared" si="36"/>
        <v>人民币</v>
      </c>
      <c r="S68" s="1" t="str">
        <f t="shared" si="35"/>
        <v>T4000025</v>
      </c>
    </row>
    <row r="69" spans="1:19">
      <c r="A69" s="1" t="str">
        <f t="shared" si="34"/>
        <v>20220309</v>
      </c>
      <c r="D69" s="1" t="str">
        <f>"偿还融资负债本金"</f>
        <v>偿还融资负债本金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-9799.33</v>
      </c>
      <c r="O69" s="1">
        <v>380.79</v>
      </c>
      <c r="P69" s="1">
        <v>0</v>
      </c>
      <c r="R69" s="1" t="str">
        <f t="shared" si="36"/>
        <v>人民币</v>
      </c>
      <c r="S69" s="1" t="str">
        <f t="shared" si="35"/>
        <v>T4000025</v>
      </c>
    </row>
    <row r="70" spans="1:19">
      <c r="A70" s="1" t="str">
        <f t="shared" ref="A70:A75" si="37">"20220310"</f>
        <v>20220310</v>
      </c>
      <c r="B70" s="1" t="str">
        <f>"000543"</f>
        <v>000543</v>
      </c>
      <c r="C70" s="1" t="str">
        <f>"皖能电力"</f>
        <v>皖能电力</v>
      </c>
      <c r="D70" s="1" t="str">
        <f>"卖券还款"</f>
        <v>卖券还款</v>
      </c>
      <c r="E70" s="1">
        <v>4.34</v>
      </c>
      <c r="F70" s="1">
        <v>3000</v>
      </c>
      <c r="G70" s="1">
        <v>13020</v>
      </c>
      <c r="H70" s="1">
        <v>5</v>
      </c>
      <c r="I70" s="1">
        <v>3.85</v>
      </c>
      <c r="J70" s="1">
        <v>13.02</v>
      </c>
      <c r="K70" s="1">
        <v>0</v>
      </c>
      <c r="L70" s="1">
        <v>0</v>
      </c>
      <c r="M70" s="1">
        <v>0</v>
      </c>
      <c r="N70" s="1">
        <v>13001.98</v>
      </c>
      <c r="O70" s="1">
        <v>13382.77</v>
      </c>
      <c r="P70" s="1">
        <v>27000</v>
      </c>
      <c r="Q70" s="1" t="str">
        <f>"0602175409"</f>
        <v>0602175409</v>
      </c>
      <c r="R70" s="1" t="str">
        <f t="shared" si="36"/>
        <v>人民币</v>
      </c>
      <c r="S70" s="1" t="str">
        <f t="shared" ref="S70:S75" si="38">"T4000036"</f>
        <v>T4000036</v>
      </c>
    </row>
    <row r="71" spans="1:19">
      <c r="A71" s="1" t="str">
        <f t="shared" si="37"/>
        <v>20220310</v>
      </c>
      <c r="D71" s="1" t="str">
        <f>"偿还融券费用"</f>
        <v>偿还融券费用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-1.18</v>
      </c>
      <c r="O71" s="1">
        <v>13381.59</v>
      </c>
      <c r="P71" s="1">
        <v>0</v>
      </c>
      <c r="R71" s="1" t="str">
        <f t="shared" si="36"/>
        <v>人民币</v>
      </c>
      <c r="S71" s="1" t="str">
        <f t="shared" si="38"/>
        <v>T4000036</v>
      </c>
    </row>
    <row r="72" spans="1:19">
      <c r="A72" s="1" t="str">
        <f t="shared" si="37"/>
        <v>20220310</v>
      </c>
      <c r="D72" s="1" t="str">
        <f>"偿还融资利息"</f>
        <v>偿还融资利息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-0.21</v>
      </c>
      <c r="O72" s="1">
        <v>13381.38</v>
      </c>
      <c r="P72" s="1">
        <v>0</v>
      </c>
      <c r="R72" s="1" t="str">
        <f t="shared" si="36"/>
        <v>人民币</v>
      </c>
      <c r="S72" s="1" t="str">
        <f t="shared" si="38"/>
        <v>T4000036</v>
      </c>
    </row>
    <row r="73" spans="1:19">
      <c r="A73" s="1" t="str">
        <f t="shared" si="37"/>
        <v>20220310</v>
      </c>
      <c r="D73" s="1" t="str">
        <f>"偿还融资负债本金"</f>
        <v>偿还融资负债本金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-901.67</v>
      </c>
      <c r="O73" s="1">
        <v>12479.71</v>
      </c>
      <c r="P73" s="1">
        <v>0</v>
      </c>
      <c r="R73" s="1" t="str">
        <f t="shared" si="36"/>
        <v>人民币</v>
      </c>
      <c r="S73" s="1" t="str">
        <f t="shared" si="38"/>
        <v>T4000036</v>
      </c>
    </row>
    <row r="74" spans="1:19">
      <c r="A74" s="1" t="str">
        <f t="shared" si="37"/>
        <v>20220310</v>
      </c>
      <c r="D74" s="1" t="str">
        <f>"偿还融资利息"</f>
        <v>偿还融资利息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-133.78</v>
      </c>
      <c r="O74" s="1">
        <v>12345.93</v>
      </c>
      <c r="P74" s="1">
        <v>0</v>
      </c>
      <c r="R74" s="1" t="str">
        <f t="shared" si="36"/>
        <v>人民币</v>
      </c>
      <c r="S74" s="1" t="str">
        <f t="shared" si="38"/>
        <v>T4000036</v>
      </c>
    </row>
    <row r="75" spans="1:19">
      <c r="A75" s="1" t="str">
        <f t="shared" si="37"/>
        <v>20220310</v>
      </c>
      <c r="D75" s="1" t="str">
        <f>"偿还融资负债本金"</f>
        <v>偿还融资负债本金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-11931.08</v>
      </c>
      <c r="O75" s="1">
        <v>414.85</v>
      </c>
      <c r="P75" s="1">
        <v>0</v>
      </c>
      <c r="R75" s="1" t="str">
        <f t="shared" si="36"/>
        <v>人民币</v>
      </c>
      <c r="S75" s="1" t="str">
        <f t="shared" si="38"/>
        <v>T4000036</v>
      </c>
    </row>
    <row r="76" spans="1:19">
      <c r="A76" s="1" t="str">
        <f t="shared" ref="A76:A79" si="39">"20220316"</f>
        <v>20220316</v>
      </c>
      <c r="B76" s="1" t="str">
        <f>"000543"</f>
        <v>000543</v>
      </c>
      <c r="C76" s="1" t="str">
        <f>"皖能电力"</f>
        <v>皖能电力</v>
      </c>
      <c r="D76" s="1" t="str">
        <f>"融资买入"</f>
        <v>融资买入</v>
      </c>
      <c r="E76" s="1">
        <v>3.9</v>
      </c>
      <c r="F76" s="1">
        <v>1600</v>
      </c>
      <c r="G76" s="1">
        <v>6240</v>
      </c>
      <c r="H76" s="1">
        <v>5</v>
      </c>
      <c r="I76" s="1">
        <v>4.44</v>
      </c>
      <c r="J76" s="1">
        <v>0</v>
      </c>
      <c r="K76" s="1">
        <v>0</v>
      </c>
      <c r="L76" s="1">
        <v>0</v>
      </c>
      <c r="M76" s="1">
        <v>0</v>
      </c>
      <c r="N76" s="1">
        <v>-6245</v>
      </c>
      <c r="O76" s="1">
        <v>-5830.15</v>
      </c>
      <c r="P76" s="1">
        <v>28600</v>
      </c>
      <c r="Q76" s="1" t="str">
        <f t="shared" ref="Q76:Q81" si="40">"0602175409"</f>
        <v>0602175409</v>
      </c>
      <c r="R76" s="1" t="str">
        <f t="shared" si="36"/>
        <v>人民币</v>
      </c>
      <c r="S76" s="1" t="str">
        <f>"T4000384"</f>
        <v>T4000384</v>
      </c>
    </row>
    <row r="77" spans="1:19">
      <c r="A77" s="1" t="str">
        <f t="shared" si="39"/>
        <v>20220316</v>
      </c>
      <c r="B77" s="1" t="str">
        <f>"510300"</f>
        <v>510300</v>
      </c>
      <c r="C77" s="1" t="str">
        <f>"300ETF"</f>
        <v>300ETF</v>
      </c>
      <c r="D77" s="1" t="str">
        <f>"买券还券"</f>
        <v>买券还券</v>
      </c>
      <c r="E77" s="1">
        <v>4.006</v>
      </c>
      <c r="F77" s="1">
        <v>100</v>
      </c>
      <c r="G77" s="1">
        <v>400.6</v>
      </c>
      <c r="H77" s="1">
        <v>5</v>
      </c>
      <c r="I77" s="1">
        <v>4.98</v>
      </c>
      <c r="J77" s="1">
        <v>0</v>
      </c>
      <c r="K77" s="1">
        <v>0</v>
      </c>
      <c r="L77" s="1">
        <v>0</v>
      </c>
      <c r="M77" s="1">
        <v>0</v>
      </c>
      <c r="N77" s="1">
        <v>-405.6</v>
      </c>
      <c r="O77" s="1">
        <v>-6235.75</v>
      </c>
      <c r="P77" s="1">
        <v>100</v>
      </c>
      <c r="Q77" s="1" t="str">
        <f>"E021635187"</f>
        <v>E021635187</v>
      </c>
      <c r="R77" s="1" t="str">
        <f t="shared" si="36"/>
        <v>人民币</v>
      </c>
      <c r="S77" s="1" t="str">
        <f>"0136000382"</f>
        <v>0136000382</v>
      </c>
    </row>
    <row r="78" spans="1:19">
      <c r="A78" s="1" t="str">
        <f t="shared" si="39"/>
        <v>20220316</v>
      </c>
      <c r="D78" s="1" t="str">
        <f>"融资借入"</f>
        <v>融资借入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6245</v>
      </c>
      <c r="O78" s="1">
        <v>9.25</v>
      </c>
      <c r="P78" s="1">
        <v>0</v>
      </c>
      <c r="R78" s="1" t="str">
        <f t="shared" si="36"/>
        <v>人民币</v>
      </c>
      <c r="S78" s="1" t="str">
        <f>"T4000384"</f>
        <v>T4000384</v>
      </c>
    </row>
    <row r="79" spans="1:18">
      <c r="A79" s="1" t="str">
        <f t="shared" si="39"/>
        <v>20220316</v>
      </c>
      <c r="B79" s="1" t="str">
        <f>"510300"</f>
        <v>510300</v>
      </c>
      <c r="C79" s="1" t="str">
        <f>"300ETF"</f>
        <v>300ETF</v>
      </c>
      <c r="D79" s="1" t="str">
        <f>"偿还融券负债"</f>
        <v>偿还融券负债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 t="str">
        <f>"E021635187"</f>
        <v>E021635187</v>
      </c>
      <c r="R79" s="1" t="str">
        <f t="shared" si="36"/>
        <v>人民币</v>
      </c>
    </row>
    <row r="80" spans="1:19">
      <c r="A80" s="1" t="str">
        <f t="shared" ref="A80:A89" si="41">"20220317"</f>
        <v>20220317</v>
      </c>
      <c r="B80" s="1" t="str">
        <f>"000543"</f>
        <v>000543</v>
      </c>
      <c r="C80" s="1" t="str">
        <f>"皖能电力"</f>
        <v>皖能电力</v>
      </c>
      <c r="D80" s="1" t="str">
        <f>"卖券还款"</f>
        <v>卖券还款</v>
      </c>
      <c r="E80" s="1">
        <v>4.07</v>
      </c>
      <c r="F80" s="1">
        <v>1600</v>
      </c>
      <c r="G80" s="1">
        <v>6512</v>
      </c>
      <c r="H80" s="1">
        <v>5</v>
      </c>
      <c r="I80" s="1">
        <v>4.42</v>
      </c>
      <c r="J80" s="1">
        <v>6.51</v>
      </c>
      <c r="K80" s="1">
        <v>0</v>
      </c>
      <c r="L80" s="1">
        <v>0</v>
      </c>
      <c r="M80" s="1">
        <v>0</v>
      </c>
      <c r="N80" s="1">
        <v>6500.49</v>
      </c>
      <c r="O80" s="1">
        <v>6509.74</v>
      </c>
      <c r="P80" s="1">
        <v>27000</v>
      </c>
      <c r="Q80" s="1" t="str">
        <f t="shared" si="40"/>
        <v>0602175409</v>
      </c>
      <c r="R80" s="1" t="str">
        <f t="shared" si="36"/>
        <v>人民币</v>
      </c>
      <c r="S80" s="1" t="str">
        <f t="shared" ref="S80:S86" si="42">"T4001167"</f>
        <v>T4001167</v>
      </c>
    </row>
    <row r="81" spans="1:19">
      <c r="A81" s="1" t="str">
        <f t="shared" si="41"/>
        <v>20220317</v>
      </c>
      <c r="B81" s="1" t="str">
        <f>"159781"</f>
        <v>159781</v>
      </c>
      <c r="C81" s="1" t="str">
        <f>"科创创业"</f>
        <v>科创创业</v>
      </c>
      <c r="D81" s="1" t="str">
        <f>"卖券还款"</f>
        <v>卖券还款</v>
      </c>
      <c r="E81" s="1">
        <v>0.706</v>
      </c>
      <c r="F81" s="1">
        <v>14000</v>
      </c>
      <c r="G81" s="1">
        <v>9884</v>
      </c>
      <c r="H81" s="1">
        <v>5</v>
      </c>
      <c r="I81" s="1">
        <v>4.6</v>
      </c>
      <c r="J81" s="1">
        <v>0</v>
      </c>
      <c r="K81" s="1">
        <v>0</v>
      </c>
      <c r="L81" s="1">
        <v>0</v>
      </c>
      <c r="M81" s="1">
        <v>0</v>
      </c>
      <c r="N81" s="1">
        <v>9879</v>
      </c>
      <c r="O81" s="1">
        <v>16388.74</v>
      </c>
      <c r="P81" s="1">
        <v>84000</v>
      </c>
      <c r="Q81" s="1" t="str">
        <f t="shared" si="40"/>
        <v>0602175409</v>
      </c>
      <c r="R81" s="1" t="str">
        <f t="shared" si="36"/>
        <v>人民币</v>
      </c>
      <c r="S81" s="1" t="str">
        <f>"T4001182"</f>
        <v>T4001182</v>
      </c>
    </row>
    <row r="82" spans="1:19">
      <c r="A82" s="1" t="str">
        <f t="shared" si="41"/>
        <v>20220317</v>
      </c>
      <c r="D82" s="1" t="str">
        <f>"偿还融券费用"</f>
        <v>偿还融券费用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-8.12</v>
      </c>
      <c r="O82" s="1">
        <v>16380.62</v>
      </c>
      <c r="P82" s="1">
        <v>0</v>
      </c>
      <c r="R82" s="1" t="str">
        <f t="shared" si="36"/>
        <v>人民币</v>
      </c>
      <c r="S82" s="1" t="str">
        <f t="shared" si="42"/>
        <v>T4001167</v>
      </c>
    </row>
    <row r="83" spans="1:19">
      <c r="A83" s="1" t="str">
        <f t="shared" si="41"/>
        <v>20220317</v>
      </c>
      <c r="D83" s="1" t="str">
        <f t="shared" ref="D83:D88" si="43">"偿还融资利息"</f>
        <v>偿还融资利息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-1.9</v>
      </c>
      <c r="O83" s="1">
        <v>16378.72</v>
      </c>
      <c r="P83" s="1">
        <v>0</v>
      </c>
      <c r="R83" s="1" t="str">
        <f t="shared" si="36"/>
        <v>人民币</v>
      </c>
      <c r="S83" s="1" t="str">
        <f t="shared" si="42"/>
        <v>T4001167</v>
      </c>
    </row>
    <row r="84" spans="1:19">
      <c r="A84" s="1" t="str">
        <f t="shared" si="41"/>
        <v>20220317</v>
      </c>
      <c r="D84" s="1" t="str">
        <f t="shared" ref="D84:D87" si="44">"偿还融资负债本金"</f>
        <v>偿还融资负债本金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-1183.92</v>
      </c>
      <c r="O84" s="1">
        <v>15194.8</v>
      </c>
      <c r="P84" s="1">
        <v>0</v>
      </c>
      <c r="R84" s="1" t="str">
        <f t="shared" si="36"/>
        <v>人民币</v>
      </c>
      <c r="S84" s="1" t="str">
        <f t="shared" si="42"/>
        <v>T4001167</v>
      </c>
    </row>
    <row r="85" spans="1:19">
      <c r="A85" s="1" t="str">
        <f t="shared" si="41"/>
        <v>20220317</v>
      </c>
      <c r="D85" s="1" t="str">
        <f t="shared" si="43"/>
        <v>偿还融资利息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-147.38</v>
      </c>
      <c r="O85" s="1">
        <v>15047.42</v>
      </c>
      <c r="P85" s="1">
        <v>0</v>
      </c>
      <c r="R85" s="1" t="str">
        <f t="shared" si="36"/>
        <v>人民币</v>
      </c>
      <c r="S85" s="1" t="str">
        <f t="shared" si="42"/>
        <v>T4001167</v>
      </c>
    </row>
    <row r="86" spans="1:19">
      <c r="A86" s="1" t="str">
        <f t="shared" si="41"/>
        <v>20220317</v>
      </c>
      <c r="D86" s="1" t="str">
        <f t="shared" si="44"/>
        <v>偿还融资负债本金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-5144.63</v>
      </c>
      <c r="O86" s="1">
        <v>9902.79</v>
      </c>
      <c r="P86" s="1">
        <v>0</v>
      </c>
      <c r="R86" s="1" t="str">
        <f t="shared" si="36"/>
        <v>人民币</v>
      </c>
      <c r="S86" s="1" t="str">
        <f t="shared" si="42"/>
        <v>T4001167</v>
      </c>
    </row>
    <row r="87" spans="1:19">
      <c r="A87" s="1" t="str">
        <f t="shared" si="41"/>
        <v>20220317</v>
      </c>
      <c r="D87" s="1" t="str">
        <f t="shared" si="44"/>
        <v>偿还融资负债本金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-7310.37</v>
      </c>
      <c r="O87" s="1">
        <v>2592.42</v>
      </c>
      <c r="P87" s="1">
        <v>0</v>
      </c>
      <c r="R87" s="1" t="str">
        <f t="shared" si="36"/>
        <v>人民币</v>
      </c>
      <c r="S87" s="1" t="str">
        <f t="shared" ref="S87:S89" si="45">"T4001182"</f>
        <v>T4001182</v>
      </c>
    </row>
    <row r="88" spans="1:19">
      <c r="A88" s="1" t="str">
        <f t="shared" si="41"/>
        <v>20220317</v>
      </c>
      <c r="D88" s="1" t="str">
        <f t="shared" si="43"/>
        <v>偿还融资利息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-119.15</v>
      </c>
      <c r="O88" s="1">
        <v>2473.27</v>
      </c>
      <c r="P88" s="1">
        <v>0</v>
      </c>
      <c r="R88" s="1" t="str">
        <f t="shared" si="36"/>
        <v>人民币</v>
      </c>
      <c r="S88" s="1" t="str">
        <f t="shared" si="45"/>
        <v>T4001182</v>
      </c>
    </row>
    <row r="89" spans="1:19">
      <c r="A89" s="1" t="str">
        <f t="shared" si="41"/>
        <v>20220317</v>
      </c>
      <c r="D89" s="1" t="str">
        <f>"偿还融资负债本金"</f>
        <v>偿还融资负债本金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-2424.83</v>
      </c>
      <c r="O89" s="1">
        <v>48.44</v>
      </c>
      <c r="P89" s="1">
        <v>0</v>
      </c>
      <c r="R89" s="1" t="str">
        <f t="shared" si="36"/>
        <v>人民币</v>
      </c>
      <c r="S89" s="1" t="str">
        <f t="shared" si="45"/>
        <v>T4001182</v>
      </c>
    </row>
    <row r="90" spans="1:18">
      <c r="A90" s="1" t="str">
        <f t="shared" ref="A90:A101" si="46">"20220318"</f>
        <v>20220318</v>
      </c>
      <c r="D90" s="1" t="str">
        <f>"利息归本"</f>
        <v>利息归本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0.33</v>
      </c>
      <c r="O90" s="1">
        <v>48.77</v>
      </c>
      <c r="P90" s="1">
        <v>0</v>
      </c>
      <c r="R90" s="1" t="str">
        <f t="shared" si="36"/>
        <v>人民币</v>
      </c>
    </row>
    <row r="91" spans="1:19">
      <c r="A91" s="1" t="str">
        <f t="shared" si="46"/>
        <v>20220318</v>
      </c>
      <c r="B91" s="1" t="str">
        <f>"000543"</f>
        <v>000543</v>
      </c>
      <c r="C91" s="1" t="str">
        <f>"皖能电力"</f>
        <v>皖能电力</v>
      </c>
      <c r="D91" s="1" t="str">
        <f>"融资买入"</f>
        <v>融资买入</v>
      </c>
      <c r="E91" s="1">
        <v>3.99</v>
      </c>
      <c r="F91" s="1">
        <v>3000</v>
      </c>
      <c r="G91" s="1">
        <v>11970</v>
      </c>
      <c r="H91" s="1">
        <v>5</v>
      </c>
      <c r="I91" s="1">
        <v>3.94</v>
      </c>
      <c r="J91" s="1">
        <v>0</v>
      </c>
      <c r="K91" s="1">
        <v>0</v>
      </c>
      <c r="L91" s="1">
        <v>0</v>
      </c>
      <c r="M91" s="1">
        <v>0</v>
      </c>
      <c r="N91" s="1">
        <v>-11975</v>
      </c>
      <c r="O91" s="1">
        <v>-11926.23</v>
      </c>
      <c r="P91" s="1">
        <v>30000</v>
      </c>
      <c r="Q91" s="1" t="str">
        <f>"0602175409"</f>
        <v>0602175409</v>
      </c>
      <c r="R91" s="1" t="str">
        <f t="shared" si="36"/>
        <v>人民币</v>
      </c>
      <c r="S91" s="1" t="str">
        <f>"T4000036"</f>
        <v>T4000036</v>
      </c>
    </row>
    <row r="92" spans="1:19">
      <c r="A92" s="1" t="str">
        <f t="shared" si="46"/>
        <v>20220318</v>
      </c>
      <c r="B92" s="1" t="str">
        <f>"000543"</f>
        <v>000543</v>
      </c>
      <c r="C92" s="1" t="str">
        <f>"皖能电力"</f>
        <v>皖能电力</v>
      </c>
      <c r="D92" s="1" t="str">
        <f>"卖券还款"</f>
        <v>卖券还款</v>
      </c>
      <c r="E92" s="1">
        <v>4.2</v>
      </c>
      <c r="F92" s="1">
        <v>3000</v>
      </c>
      <c r="G92" s="1">
        <v>12600</v>
      </c>
      <c r="H92" s="1">
        <v>5</v>
      </c>
      <c r="I92" s="1">
        <v>3.86</v>
      </c>
      <c r="J92" s="1">
        <v>12.6</v>
      </c>
      <c r="K92" s="1">
        <v>0</v>
      </c>
      <c r="L92" s="1">
        <v>0</v>
      </c>
      <c r="M92" s="1">
        <v>0</v>
      </c>
      <c r="N92" s="1">
        <v>12582.4</v>
      </c>
      <c r="O92" s="1">
        <v>656.17</v>
      </c>
      <c r="P92" s="1">
        <v>27000</v>
      </c>
      <c r="Q92" s="1" t="str">
        <f>"0602175409"</f>
        <v>0602175409</v>
      </c>
      <c r="R92" s="1" t="str">
        <f t="shared" si="36"/>
        <v>人民币</v>
      </c>
      <c r="S92" s="1" t="str">
        <f t="shared" ref="S92:S98" si="47">"T4000818"</f>
        <v>T4000818</v>
      </c>
    </row>
    <row r="93" spans="1:19">
      <c r="A93" s="1" t="str">
        <f t="shared" si="46"/>
        <v>20220318</v>
      </c>
      <c r="D93" s="1" t="str">
        <f>"融资借入"</f>
        <v>融资借入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11975</v>
      </c>
      <c r="O93" s="1">
        <v>12631.17</v>
      </c>
      <c r="P93" s="1">
        <v>0</v>
      </c>
      <c r="R93" s="1" t="str">
        <f t="shared" si="36"/>
        <v>人民币</v>
      </c>
      <c r="S93" s="1" t="str">
        <f>"T4000036"</f>
        <v>T4000036</v>
      </c>
    </row>
    <row r="94" spans="1:19">
      <c r="A94" s="1" t="str">
        <f t="shared" si="46"/>
        <v>20220318</v>
      </c>
      <c r="D94" s="1" t="str">
        <f>"偿还融券费用"</f>
        <v>偿还融券费用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-1.08</v>
      </c>
      <c r="O94" s="1">
        <v>12630.09</v>
      </c>
      <c r="P94" s="1">
        <v>0</v>
      </c>
      <c r="R94" s="1" t="str">
        <f t="shared" si="36"/>
        <v>人民币</v>
      </c>
      <c r="S94" s="1" t="str">
        <f t="shared" si="47"/>
        <v>T4000818</v>
      </c>
    </row>
    <row r="95" spans="1:19">
      <c r="A95" s="1" t="str">
        <f t="shared" si="46"/>
        <v>20220318</v>
      </c>
      <c r="D95" s="1" t="str">
        <f t="shared" ref="D95:D101" si="48">"偿还融资利息"</f>
        <v>偿还融资利息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-1.87</v>
      </c>
      <c r="O95" s="1">
        <v>12628.22</v>
      </c>
      <c r="P95" s="1">
        <v>0</v>
      </c>
      <c r="R95" s="1" t="str">
        <f t="shared" si="36"/>
        <v>人民币</v>
      </c>
      <c r="S95" s="1" t="str">
        <f t="shared" si="47"/>
        <v>T4000818</v>
      </c>
    </row>
    <row r="96" spans="1:19">
      <c r="A96" s="1" t="str">
        <f t="shared" si="46"/>
        <v>20220318</v>
      </c>
      <c r="D96" s="1" t="str">
        <f>"偿还融资负债本金"</f>
        <v>偿还融资负债本金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-8066.17</v>
      </c>
      <c r="O96" s="1">
        <v>4562.05</v>
      </c>
      <c r="P96" s="1">
        <v>0</v>
      </c>
      <c r="R96" s="1" t="str">
        <f t="shared" si="36"/>
        <v>人民币</v>
      </c>
      <c r="S96" s="1" t="str">
        <f t="shared" si="47"/>
        <v>T4000818</v>
      </c>
    </row>
    <row r="97" spans="1:19">
      <c r="A97" s="1" t="str">
        <f t="shared" si="46"/>
        <v>20220318</v>
      </c>
      <c r="D97" s="1" t="str">
        <f t="shared" si="48"/>
        <v>偿还融资利息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-119.09</v>
      </c>
      <c r="O97" s="1">
        <v>4442.96</v>
      </c>
      <c r="P97" s="1">
        <v>0</v>
      </c>
      <c r="R97" s="1" t="str">
        <f t="shared" si="36"/>
        <v>人民币</v>
      </c>
      <c r="S97" s="1" t="str">
        <f t="shared" si="47"/>
        <v>T4000818</v>
      </c>
    </row>
    <row r="98" spans="1:19">
      <c r="A98" s="1" t="str">
        <f t="shared" si="46"/>
        <v>20220318</v>
      </c>
      <c r="D98" s="1" t="str">
        <f>"偿还融资负债本金"</f>
        <v>偿还融资负债本金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-4361.39</v>
      </c>
      <c r="O98" s="1">
        <v>81.57</v>
      </c>
      <c r="P98" s="1">
        <v>0</v>
      </c>
      <c r="R98" s="1" t="str">
        <f t="shared" si="36"/>
        <v>人民币</v>
      </c>
      <c r="S98" s="1" t="str">
        <f t="shared" si="47"/>
        <v>T4000818</v>
      </c>
    </row>
    <row r="99" spans="1:18">
      <c r="A99" s="1" t="str">
        <f t="shared" si="46"/>
        <v>20220318</v>
      </c>
      <c r="D99" s="1" t="str">
        <f>"偿还融券费用"</f>
        <v>偿还融券费用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-1.09</v>
      </c>
      <c r="O99" s="1">
        <v>80.48</v>
      </c>
      <c r="P99" s="1">
        <v>0</v>
      </c>
      <c r="R99" s="1" t="str">
        <f t="shared" si="36"/>
        <v>人民币</v>
      </c>
    </row>
    <row r="100" spans="1:18">
      <c r="A100" s="1" t="str">
        <f t="shared" si="46"/>
        <v>20220318</v>
      </c>
      <c r="D100" s="1" t="str">
        <f t="shared" si="48"/>
        <v>偿还融资利息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-1.37</v>
      </c>
      <c r="O100" s="1">
        <v>79.11</v>
      </c>
      <c r="P100" s="1">
        <v>0</v>
      </c>
      <c r="R100" s="1" t="str">
        <f t="shared" si="36"/>
        <v>人民币</v>
      </c>
    </row>
    <row r="101" spans="1:18">
      <c r="A101" s="1" t="str">
        <f t="shared" si="46"/>
        <v>20220318</v>
      </c>
      <c r="D101" s="1" t="str">
        <f t="shared" si="48"/>
        <v>偿还融资利息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-79.11</v>
      </c>
      <c r="O101" s="1">
        <v>0</v>
      </c>
      <c r="P101" s="1">
        <v>0</v>
      </c>
      <c r="R101" s="1" t="str">
        <f t="shared" si="36"/>
        <v>人民币</v>
      </c>
    </row>
    <row r="102" spans="1:19">
      <c r="A102" s="1" t="str">
        <f>"20220328"</f>
        <v>20220328</v>
      </c>
      <c r="B102" s="1" t="str">
        <f>"000543"</f>
        <v>000543</v>
      </c>
      <c r="C102" s="1" t="str">
        <f>"皖能电力"</f>
        <v>皖能电力</v>
      </c>
      <c r="D102" s="1" t="str">
        <f>"融资买入"</f>
        <v>融资买入</v>
      </c>
      <c r="E102" s="1">
        <v>3.91</v>
      </c>
      <c r="F102" s="1">
        <v>3000</v>
      </c>
      <c r="G102" s="1">
        <v>11730</v>
      </c>
      <c r="H102" s="1">
        <v>5</v>
      </c>
      <c r="I102" s="1">
        <v>3.97</v>
      </c>
      <c r="J102" s="1">
        <v>0</v>
      </c>
      <c r="K102" s="1">
        <v>0</v>
      </c>
      <c r="L102" s="1">
        <v>0</v>
      </c>
      <c r="M102" s="1">
        <v>0</v>
      </c>
      <c r="N102" s="1">
        <v>-11735</v>
      </c>
      <c r="O102" s="1">
        <v>-11735</v>
      </c>
      <c r="P102" s="1">
        <v>30000</v>
      </c>
      <c r="Q102" s="1" t="str">
        <f t="shared" ref="Q102:Q106" si="49">"0602175409"</f>
        <v>0602175409</v>
      </c>
      <c r="R102" s="1" t="str">
        <f t="shared" si="36"/>
        <v>人民币</v>
      </c>
      <c r="S102" s="1" t="str">
        <f>"T4000022"</f>
        <v>T4000022</v>
      </c>
    </row>
    <row r="103" spans="1:19">
      <c r="A103" s="1" t="str">
        <f>"20220328"</f>
        <v>20220328</v>
      </c>
      <c r="D103" s="1" t="str">
        <f>"融资借入"</f>
        <v>融资借入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11735</v>
      </c>
      <c r="O103" s="1">
        <v>0</v>
      </c>
      <c r="P103" s="1">
        <v>0</v>
      </c>
      <c r="R103" s="1" t="str">
        <f t="shared" si="36"/>
        <v>人民币</v>
      </c>
      <c r="S103" s="1" t="str">
        <f>"T4000022"</f>
        <v>T4000022</v>
      </c>
    </row>
    <row r="104" spans="1:19">
      <c r="A104" s="1" t="str">
        <f>"20220329"</f>
        <v>20220329</v>
      </c>
      <c r="B104" s="1" t="str">
        <f>"159781"</f>
        <v>159781</v>
      </c>
      <c r="C104" s="1" t="str">
        <f>"科创创业"</f>
        <v>科创创业</v>
      </c>
      <c r="D104" s="1" t="str">
        <f>"融资买入"</f>
        <v>融资买入</v>
      </c>
      <c r="E104" s="1">
        <v>0.662</v>
      </c>
      <c r="F104" s="1">
        <v>16400</v>
      </c>
      <c r="G104" s="1">
        <v>10856.8</v>
      </c>
      <c r="H104" s="1">
        <v>5</v>
      </c>
      <c r="I104" s="1">
        <v>4.57</v>
      </c>
      <c r="J104" s="1">
        <v>0</v>
      </c>
      <c r="K104" s="1">
        <v>0</v>
      </c>
      <c r="L104" s="1">
        <v>0</v>
      </c>
      <c r="M104" s="1">
        <v>0</v>
      </c>
      <c r="N104" s="1">
        <v>-10861.8</v>
      </c>
      <c r="O104" s="1">
        <v>-10861.8</v>
      </c>
      <c r="P104" s="1">
        <v>100400</v>
      </c>
      <c r="Q104" s="1" t="str">
        <f t="shared" si="49"/>
        <v>0602175409</v>
      </c>
      <c r="R104" s="1" t="str">
        <f t="shared" si="36"/>
        <v>人民币</v>
      </c>
      <c r="S104" s="1" t="str">
        <f>"T4000546"</f>
        <v>T4000546</v>
      </c>
    </row>
    <row r="105" spans="1:19">
      <c r="A105" s="1" t="str">
        <f>"20220329"</f>
        <v>20220329</v>
      </c>
      <c r="D105" s="1" t="str">
        <f>"融资借入"</f>
        <v>融资借入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10861.8</v>
      </c>
      <c r="O105" s="1">
        <v>0</v>
      </c>
      <c r="P105" s="1">
        <v>0</v>
      </c>
      <c r="R105" s="1" t="str">
        <f t="shared" si="36"/>
        <v>人民币</v>
      </c>
      <c r="S105" s="1" t="str">
        <f>"T4000546"</f>
        <v>T4000546</v>
      </c>
    </row>
    <row r="106" spans="1:19">
      <c r="A106" s="1" t="str">
        <f t="shared" ref="A106:A111" si="50">"20220330"</f>
        <v>20220330</v>
      </c>
      <c r="B106" s="1" t="str">
        <f>"159781"</f>
        <v>159781</v>
      </c>
      <c r="C106" s="1" t="str">
        <f>"科创创业"</f>
        <v>科创创业</v>
      </c>
      <c r="D106" s="1" t="str">
        <f>"卖券还款"</f>
        <v>卖券还款</v>
      </c>
      <c r="E106" s="1">
        <v>0.678</v>
      </c>
      <c r="F106" s="1">
        <v>16400</v>
      </c>
      <c r="G106" s="1">
        <v>11119.2</v>
      </c>
      <c r="H106" s="1">
        <v>5</v>
      </c>
      <c r="I106" s="1">
        <v>4.56</v>
      </c>
      <c r="J106" s="1">
        <v>0</v>
      </c>
      <c r="K106" s="1">
        <v>0</v>
      </c>
      <c r="L106" s="1">
        <v>0</v>
      </c>
      <c r="M106" s="1">
        <v>0</v>
      </c>
      <c r="N106" s="1">
        <v>11114.2</v>
      </c>
      <c r="O106" s="1">
        <v>11114.2</v>
      </c>
      <c r="P106" s="1">
        <v>84000</v>
      </c>
      <c r="Q106" s="1" t="str">
        <f t="shared" si="49"/>
        <v>0602175409</v>
      </c>
      <c r="R106" s="1" t="str">
        <f t="shared" si="36"/>
        <v>人民币</v>
      </c>
      <c r="S106" s="1" t="str">
        <f t="shared" ref="S106:S111" si="51">"T4001113"</f>
        <v>T4001113</v>
      </c>
    </row>
    <row r="107" spans="1:19">
      <c r="A107" s="1" t="str">
        <f t="shared" si="50"/>
        <v>20220330</v>
      </c>
      <c r="D107" s="1" t="str">
        <f>"偿还融券费用"</f>
        <v>偿还融券费用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-11.8</v>
      </c>
      <c r="O107" s="1">
        <v>11102.4</v>
      </c>
      <c r="P107" s="1">
        <v>0</v>
      </c>
      <c r="R107" s="1" t="str">
        <f t="shared" si="36"/>
        <v>人民币</v>
      </c>
      <c r="S107" s="1" t="str">
        <f t="shared" si="51"/>
        <v>T4001113</v>
      </c>
    </row>
    <row r="108" spans="1:19">
      <c r="A108" s="1" t="str">
        <f t="shared" si="50"/>
        <v>20220330</v>
      </c>
      <c r="D108" s="1" t="str">
        <f>"偿还融资利息"</f>
        <v>偿还融资利息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-15.09</v>
      </c>
      <c r="O108" s="1">
        <v>11087.31</v>
      </c>
      <c r="P108" s="1">
        <v>0</v>
      </c>
      <c r="R108" s="1" t="str">
        <f t="shared" si="36"/>
        <v>人民币</v>
      </c>
      <c r="S108" s="1" t="str">
        <f t="shared" si="51"/>
        <v>T4001113</v>
      </c>
    </row>
    <row r="109" spans="1:19">
      <c r="A109" s="1" t="str">
        <f t="shared" si="50"/>
        <v>20220330</v>
      </c>
      <c r="D109" s="1" t="str">
        <f>"偿还融资负债本金"</f>
        <v>偿还融资负债本金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-5919.61</v>
      </c>
      <c r="O109" s="1">
        <v>5167.7</v>
      </c>
      <c r="P109" s="1">
        <v>0</v>
      </c>
      <c r="R109" s="1" t="str">
        <f t="shared" si="36"/>
        <v>人民币</v>
      </c>
      <c r="S109" s="1" t="str">
        <f t="shared" si="51"/>
        <v>T4001113</v>
      </c>
    </row>
    <row r="110" spans="1:19">
      <c r="A110" s="1" t="str">
        <f t="shared" si="50"/>
        <v>20220330</v>
      </c>
      <c r="D110" s="1" t="str">
        <f>"偿还融资利息"</f>
        <v>偿还融资利息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-42.34</v>
      </c>
      <c r="O110" s="1">
        <v>5125.36</v>
      </c>
      <c r="P110" s="1">
        <v>0</v>
      </c>
      <c r="R110" s="1" t="str">
        <f t="shared" si="36"/>
        <v>人民币</v>
      </c>
      <c r="S110" s="1" t="str">
        <f t="shared" si="51"/>
        <v>T4001113</v>
      </c>
    </row>
    <row r="111" spans="1:19">
      <c r="A111" s="1" t="str">
        <f t="shared" si="50"/>
        <v>20220330</v>
      </c>
      <c r="D111" s="1" t="str">
        <f>"偿还融资负债本金"</f>
        <v>偿还融资负债本金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-5096.9</v>
      </c>
      <c r="O111" s="1">
        <v>28.46</v>
      </c>
      <c r="P111" s="1">
        <v>0</v>
      </c>
      <c r="R111" s="1" t="str">
        <f t="shared" si="36"/>
        <v>人民币</v>
      </c>
      <c r="S111" s="1" t="str">
        <f t="shared" si="51"/>
        <v>T4001113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5"/>
  <sheetViews>
    <sheetView zoomScaleSheetLayoutView="60" workbookViewId="0">
      <selection activeCell="A2" sqref="A2:P45"/>
    </sheetView>
  </sheetViews>
  <sheetFormatPr defaultColWidth="9" defaultRowHeight="13.5"/>
  <cols>
    <col min="1" max="16384" width="9" style="1"/>
  </cols>
  <sheetData>
    <row r="1" spans="1:19">
      <c r="A1" s="1" t="str">
        <f>"交割日期"</f>
        <v>交割日期</v>
      </c>
      <c r="B1" s="1" t="str">
        <f>"证券代码"</f>
        <v>证券代码</v>
      </c>
      <c r="C1" s="1" t="str">
        <f>"证券名称"</f>
        <v>证券名称</v>
      </c>
      <c r="D1" s="1" t="str">
        <f>"业务名称"</f>
        <v>业务名称</v>
      </c>
      <c r="E1" s="1" t="str">
        <f>"成交价格"</f>
        <v>成交价格</v>
      </c>
      <c r="F1" s="1" t="str">
        <f>"成交数量"</f>
        <v>成交数量</v>
      </c>
      <c r="G1" s="1" t="str">
        <f>"成交金额"</f>
        <v>成交金额</v>
      </c>
      <c r="H1" s="1" t="str">
        <f>"手续费"</f>
        <v>手续费</v>
      </c>
      <c r="I1" s="1" t="str">
        <f>"净佣金"</f>
        <v>净佣金</v>
      </c>
      <c r="J1" s="1" t="str">
        <f>"印花税"</f>
        <v>印花税</v>
      </c>
      <c r="K1" s="1" t="str">
        <f>"过户费"</f>
        <v>过户费</v>
      </c>
      <c r="L1" s="1" t="str">
        <f>"结算费"</f>
        <v>结算费</v>
      </c>
      <c r="M1" s="1" t="str">
        <f>"其他费"</f>
        <v>其他费</v>
      </c>
      <c r="N1" s="1" t="str">
        <f>"发生金额"</f>
        <v>发生金额</v>
      </c>
      <c r="O1" s="1" t="str">
        <f>"剩余金额"</f>
        <v>剩余金额</v>
      </c>
      <c r="P1" s="1" t="str">
        <f>"证券数量"</f>
        <v>证券数量</v>
      </c>
      <c r="Q1" s="1" t="str">
        <f>"股东代码"</f>
        <v>股东代码</v>
      </c>
      <c r="R1" s="1" t="str">
        <f>"币种"</f>
        <v>币种</v>
      </c>
      <c r="S1" s="1" t="str">
        <f>"成交编号"</f>
        <v>成交编号</v>
      </c>
    </row>
    <row r="2" spans="1:19">
      <c r="A2" s="1" t="str">
        <f>"20220406"</f>
        <v>20220406</v>
      </c>
      <c r="B2" s="1" t="str">
        <f>"159781"</f>
        <v>159781</v>
      </c>
      <c r="C2" s="1" t="str">
        <f>"科创创业"</f>
        <v>科创创业</v>
      </c>
      <c r="D2" s="1" t="str">
        <f>"融资买入"</f>
        <v>融资买入</v>
      </c>
      <c r="E2" s="1">
        <v>0.655</v>
      </c>
      <c r="F2" s="1">
        <v>16000</v>
      </c>
      <c r="G2" s="1">
        <v>10480</v>
      </c>
      <c r="H2" s="1">
        <v>5</v>
      </c>
      <c r="I2" s="1">
        <v>4.58</v>
      </c>
      <c r="J2" s="1">
        <v>0</v>
      </c>
      <c r="K2" s="1">
        <v>0</v>
      </c>
      <c r="L2" s="1">
        <v>0</v>
      </c>
      <c r="M2" s="1">
        <v>0</v>
      </c>
      <c r="N2" s="1">
        <v>-10485</v>
      </c>
      <c r="O2" s="1">
        <v>-10456.54</v>
      </c>
      <c r="P2" s="1">
        <v>100000</v>
      </c>
      <c r="Q2" s="1" t="str">
        <f>"0602175409"</f>
        <v>0602175409</v>
      </c>
      <c r="R2" s="1" t="str">
        <f t="shared" ref="R2:R45" si="0">"人民币"</f>
        <v>人民币</v>
      </c>
      <c r="S2" s="1" t="str">
        <f>"T4000727"</f>
        <v>T4000727</v>
      </c>
    </row>
    <row r="3" spans="1:19">
      <c r="A3" s="1" t="str">
        <f>"20220406"</f>
        <v>20220406</v>
      </c>
      <c r="D3" s="1" t="str">
        <f>"融资借入"</f>
        <v>融资借入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10485</v>
      </c>
      <c r="O3" s="1">
        <v>28.46</v>
      </c>
      <c r="P3" s="1">
        <v>0</v>
      </c>
      <c r="R3" s="1" t="str">
        <f t="shared" si="0"/>
        <v>人民币</v>
      </c>
      <c r="S3" s="1" t="str">
        <f>"T4000727"</f>
        <v>T4000727</v>
      </c>
    </row>
    <row r="4" spans="1:18">
      <c r="A4" s="1" t="str">
        <f>"20220420"</f>
        <v>20220420</v>
      </c>
      <c r="D4" s="1" t="str">
        <f>"偿还融券费用"</f>
        <v>偿还融券费用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-23.6</v>
      </c>
      <c r="O4" s="1">
        <v>4.86</v>
      </c>
      <c r="P4" s="1">
        <v>0</v>
      </c>
      <c r="R4" s="1" t="str">
        <f t="shared" si="0"/>
        <v>人民币</v>
      </c>
    </row>
    <row r="5" spans="1:18">
      <c r="A5" s="1" t="str">
        <f>"20220420"</f>
        <v>20220420</v>
      </c>
      <c r="D5" s="1" t="str">
        <f t="shared" ref="D5:D10" si="1">"偿还融资利息"</f>
        <v>偿还融资利息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-4.86</v>
      </c>
      <c r="O5" s="1">
        <v>0</v>
      </c>
      <c r="P5" s="1">
        <v>0</v>
      </c>
      <c r="R5" s="1" t="str">
        <f t="shared" si="0"/>
        <v>人民币</v>
      </c>
    </row>
    <row r="6" spans="1:19">
      <c r="A6" s="1" t="str">
        <f t="shared" ref="A6:A11" si="2">"20220526"</f>
        <v>20220526</v>
      </c>
      <c r="B6" s="1" t="str">
        <f>"000543"</f>
        <v>000543</v>
      </c>
      <c r="C6" s="1" t="str">
        <f>"皖能电力"</f>
        <v>皖能电力</v>
      </c>
      <c r="D6" s="1" t="str">
        <f>"卖券还款"</f>
        <v>卖券还款</v>
      </c>
      <c r="E6" s="1">
        <v>4.11</v>
      </c>
      <c r="F6" s="1">
        <v>3000</v>
      </c>
      <c r="G6" s="1">
        <v>12330</v>
      </c>
      <c r="H6" s="1">
        <v>5</v>
      </c>
      <c r="I6" s="1">
        <v>4.03</v>
      </c>
      <c r="J6" s="1">
        <v>12.33</v>
      </c>
      <c r="K6" s="1">
        <v>0</v>
      </c>
      <c r="L6" s="1">
        <v>0</v>
      </c>
      <c r="M6" s="1">
        <v>0</v>
      </c>
      <c r="N6" s="1">
        <v>12312.67</v>
      </c>
      <c r="O6" s="1">
        <v>12312.67</v>
      </c>
      <c r="P6" s="1">
        <v>27000</v>
      </c>
      <c r="Q6" s="1" t="str">
        <f>"0602175409"</f>
        <v>0602175409</v>
      </c>
      <c r="R6" s="1" t="str">
        <f t="shared" si="0"/>
        <v>人民币</v>
      </c>
      <c r="S6" s="1" t="str">
        <f t="shared" ref="S6:S11" si="3">"T4000024"</f>
        <v>T4000024</v>
      </c>
    </row>
    <row r="7" spans="1:19">
      <c r="A7" s="1" t="str">
        <f t="shared" si="2"/>
        <v>20220526</v>
      </c>
      <c r="D7" s="1" t="str">
        <f>"偿还融券费用"</f>
        <v>偿还融券费用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-35.47</v>
      </c>
      <c r="O7" s="1">
        <v>12277.2</v>
      </c>
      <c r="P7" s="1">
        <v>0</v>
      </c>
      <c r="R7" s="1" t="str">
        <f t="shared" si="0"/>
        <v>人民币</v>
      </c>
      <c r="S7" s="1" t="str">
        <f t="shared" si="3"/>
        <v>T4000024</v>
      </c>
    </row>
    <row r="8" spans="1:19">
      <c r="A8" s="1" t="str">
        <f t="shared" si="2"/>
        <v>20220526</v>
      </c>
      <c r="D8" s="1" t="str">
        <f t="shared" si="1"/>
        <v>偿还融资利息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-63.56</v>
      </c>
      <c r="O8" s="1">
        <v>12213.64</v>
      </c>
      <c r="P8" s="1">
        <v>0</v>
      </c>
      <c r="R8" s="1" t="str">
        <f t="shared" si="0"/>
        <v>人民币</v>
      </c>
      <c r="S8" s="1" t="str">
        <f t="shared" si="3"/>
        <v>T4000024</v>
      </c>
    </row>
    <row r="9" spans="1:19">
      <c r="A9" s="1" t="str">
        <f t="shared" si="2"/>
        <v>20220526</v>
      </c>
      <c r="D9" s="1" t="str">
        <f>"偿还融资负债本金"</f>
        <v>偿还融资负债本金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-5184.1</v>
      </c>
      <c r="O9" s="1">
        <v>7029.54</v>
      </c>
      <c r="P9" s="1">
        <v>0</v>
      </c>
      <c r="R9" s="1" t="str">
        <f t="shared" si="0"/>
        <v>人民币</v>
      </c>
      <c r="S9" s="1" t="str">
        <f t="shared" si="3"/>
        <v>T4000024</v>
      </c>
    </row>
    <row r="10" spans="1:19">
      <c r="A10" s="1" t="str">
        <f t="shared" si="2"/>
        <v>20220526</v>
      </c>
      <c r="D10" s="1" t="str">
        <f t="shared" si="1"/>
        <v>偿还融资利息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-250.21</v>
      </c>
      <c r="O10" s="1">
        <v>6779.33</v>
      </c>
      <c r="P10" s="1">
        <v>0</v>
      </c>
      <c r="R10" s="1" t="str">
        <f t="shared" si="0"/>
        <v>人民币</v>
      </c>
      <c r="S10" s="1" t="str">
        <f t="shared" si="3"/>
        <v>T4000024</v>
      </c>
    </row>
    <row r="11" spans="1:19">
      <c r="A11" s="1" t="str">
        <f t="shared" si="2"/>
        <v>20220526</v>
      </c>
      <c r="D11" s="1" t="str">
        <f>"偿还融资负债本金"</f>
        <v>偿还融资负债本金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-6747.24</v>
      </c>
      <c r="O11" s="1">
        <v>32.09</v>
      </c>
      <c r="P11" s="1">
        <v>0</v>
      </c>
      <c r="R11" s="1" t="str">
        <f t="shared" si="0"/>
        <v>人民币</v>
      </c>
      <c r="S11" s="1" t="str">
        <f t="shared" si="3"/>
        <v>T4000024</v>
      </c>
    </row>
    <row r="12" spans="1:19">
      <c r="A12" s="1" t="str">
        <f>"20220530"</f>
        <v>20220530</v>
      </c>
      <c r="B12" s="1" t="str">
        <f>"159781"</f>
        <v>159781</v>
      </c>
      <c r="C12" s="1" t="str">
        <f>"科创创业"</f>
        <v>科创创业</v>
      </c>
      <c r="D12" s="1" t="str">
        <f>"融资买入"</f>
        <v>融资买入</v>
      </c>
      <c r="E12" s="1">
        <v>0.59</v>
      </c>
      <c r="F12" s="1">
        <v>24300</v>
      </c>
      <c r="G12" s="1">
        <v>14337</v>
      </c>
      <c r="H12" s="1">
        <v>5</v>
      </c>
      <c r="I12" s="1">
        <v>4.43</v>
      </c>
      <c r="J12" s="1">
        <v>0</v>
      </c>
      <c r="K12" s="1">
        <v>0</v>
      </c>
      <c r="L12" s="1">
        <v>0</v>
      </c>
      <c r="M12" s="1">
        <v>0</v>
      </c>
      <c r="N12" s="1">
        <v>-14342</v>
      </c>
      <c r="O12" s="1">
        <v>-14309.91</v>
      </c>
      <c r="P12" s="1">
        <v>124300</v>
      </c>
      <c r="Q12" s="1" t="str">
        <f>"0602175409"</f>
        <v>0602175409</v>
      </c>
      <c r="R12" s="1" t="str">
        <f t="shared" si="0"/>
        <v>人民币</v>
      </c>
      <c r="S12" s="1" t="str">
        <f>"T4000109"</f>
        <v>T4000109</v>
      </c>
    </row>
    <row r="13" spans="1:19">
      <c r="A13" s="1" t="str">
        <f>"20220530"</f>
        <v>20220530</v>
      </c>
      <c r="D13" s="1" t="str">
        <f>"融资借入"</f>
        <v>融资借入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14342</v>
      </c>
      <c r="O13" s="1">
        <v>32.09</v>
      </c>
      <c r="P13" s="1">
        <v>0</v>
      </c>
      <c r="R13" s="1" t="str">
        <f t="shared" si="0"/>
        <v>人民币</v>
      </c>
      <c r="S13" s="1" t="str">
        <f>"T4000109"</f>
        <v>T4000109</v>
      </c>
    </row>
    <row r="14" spans="1:19">
      <c r="A14" s="1" t="str">
        <f t="shared" ref="A14:A20" si="4">"20220601"</f>
        <v>20220601</v>
      </c>
      <c r="B14" s="1" t="str">
        <f>"159781"</f>
        <v>159781</v>
      </c>
      <c r="C14" s="1" t="str">
        <f>"科创创业"</f>
        <v>科创创业</v>
      </c>
      <c r="D14" s="1" t="str">
        <f>"卖券还款"</f>
        <v>卖券还款</v>
      </c>
      <c r="E14" s="1">
        <v>0.612</v>
      </c>
      <c r="F14" s="1">
        <v>24300</v>
      </c>
      <c r="G14" s="1">
        <v>14871.6</v>
      </c>
      <c r="H14" s="1">
        <v>5</v>
      </c>
      <c r="I14" s="1">
        <v>4.41</v>
      </c>
      <c r="J14" s="1">
        <v>0</v>
      </c>
      <c r="K14" s="1">
        <v>0</v>
      </c>
      <c r="L14" s="1">
        <v>0</v>
      </c>
      <c r="M14" s="1">
        <v>0</v>
      </c>
      <c r="N14" s="1">
        <v>14866.6</v>
      </c>
      <c r="O14" s="1">
        <v>14898.69</v>
      </c>
      <c r="P14" s="1">
        <v>100000</v>
      </c>
      <c r="Q14" s="1" t="str">
        <f>"0602175409"</f>
        <v>0602175409</v>
      </c>
      <c r="R14" s="1" t="str">
        <f t="shared" si="0"/>
        <v>人民币</v>
      </c>
      <c r="S14" s="1" t="str">
        <f t="shared" ref="S14:S20" si="5">"T4000567"</f>
        <v>T4000567</v>
      </c>
    </row>
    <row r="15" spans="1:19">
      <c r="A15" s="1" t="str">
        <f t="shared" si="4"/>
        <v>20220601</v>
      </c>
      <c r="D15" s="1" t="str">
        <f t="shared" ref="D15:D19" si="6">"偿还融资利息"</f>
        <v>偿还融资利息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-4.62</v>
      </c>
      <c r="O15" s="1">
        <v>14894.07</v>
      </c>
      <c r="P15" s="1">
        <v>0</v>
      </c>
      <c r="R15" s="1" t="str">
        <f t="shared" si="0"/>
        <v>人民币</v>
      </c>
      <c r="S15" s="1" t="str">
        <f t="shared" si="5"/>
        <v>T4000567</v>
      </c>
    </row>
    <row r="16" spans="1:19">
      <c r="A16" s="1" t="str">
        <f t="shared" si="4"/>
        <v>20220601</v>
      </c>
      <c r="D16" s="1" t="str">
        <f t="shared" ref="D16:D20" si="7">"偿还融资负债本金"</f>
        <v>偿还融资负债本金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-3323.76</v>
      </c>
      <c r="O16" s="1">
        <v>11570.31</v>
      </c>
      <c r="P16" s="1">
        <v>0</v>
      </c>
      <c r="R16" s="1" t="str">
        <f t="shared" si="0"/>
        <v>人民币</v>
      </c>
      <c r="S16" s="1" t="str">
        <f t="shared" si="5"/>
        <v>T4000567</v>
      </c>
    </row>
    <row r="17" spans="1:19">
      <c r="A17" s="1" t="str">
        <f t="shared" si="4"/>
        <v>20220601</v>
      </c>
      <c r="D17" s="1" t="str">
        <f t="shared" si="6"/>
        <v>偿还融资利息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-247.68</v>
      </c>
      <c r="O17" s="1">
        <v>11322.63</v>
      </c>
      <c r="P17" s="1">
        <v>0</v>
      </c>
      <c r="R17" s="1" t="str">
        <f t="shared" si="0"/>
        <v>人民币</v>
      </c>
      <c r="S17" s="1" t="str">
        <f t="shared" si="5"/>
        <v>T4000567</v>
      </c>
    </row>
    <row r="18" spans="1:19">
      <c r="A18" s="1" t="str">
        <f t="shared" si="4"/>
        <v>20220601</v>
      </c>
      <c r="D18" s="1" t="str">
        <f t="shared" si="7"/>
        <v>偿还融资负债本金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-9721</v>
      </c>
      <c r="O18" s="1">
        <v>1601.63</v>
      </c>
      <c r="P18" s="1">
        <v>0</v>
      </c>
      <c r="R18" s="1" t="str">
        <f t="shared" si="0"/>
        <v>人民币</v>
      </c>
      <c r="S18" s="1" t="str">
        <f t="shared" si="5"/>
        <v>T4000567</v>
      </c>
    </row>
    <row r="19" spans="1:19">
      <c r="A19" s="1" t="str">
        <f t="shared" si="4"/>
        <v>20220601</v>
      </c>
      <c r="D19" s="1" t="str">
        <f t="shared" si="6"/>
        <v>偿还融资利息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-301.75</v>
      </c>
      <c r="O19" s="1">
        <v>1299.88</v>
      </c>
      <c r="P19" s="1">
        <v>0</v>
      </c>
      <c r="R19" s="1" t="str">
        <f t="shared" si="0"/>
        <v>人民币</v>
      </c>
      <c r="S19" s="1" t="str">
        <f t="shared" si="5"/>
        <v>T4000567</v>
      </c>
    </row>
    <row r="20" spans="1:19">
      <c r="A20" s="1" t="str">
        <f t="shared" si="4"/>
        <v>20220601</v>
      </c>
      <c r="D20" s="1" t="str">
        <f t="shared" si="7"/>
        <v>偿还融资负债本金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-1228.18</v>
      </c>
      <c r="O20" s="1">
        <v>71.7</v>
      </c>
      <c r="P20" s="1">
        <v>0</v>
      </c>
      <c r="R20" s="1" t="str">
        <f t="shared" si="0"/>
        <v>人民币</v>
      </c>
      <c r="S20" s="1" t="str">
        <f t="shared" si="5"/>
        <v>T4000567</v>
      </c>
    </row>
    <row r="21" spans="1:19">
      <c r="A21" s="1" t="str">
        <f t="shared" ref="A21:A25" si="8">"20220608"</f>
        <v>20220608</v>
      </c>
      <c r="B21" s="1" t="str">
        <f>"000543"</f>
        <v>000543</v>
      </c>
      <c r="C21" s="1" t="str">
        <f>"皖能电力"</f>
        <v>皖能电力</v>
      </c>
      <c r="D21" s="1" t="str">
        <f>"卖券还款"</f>
        <v>卖券还款</v>
      </c>
      <c r="E21" s="1">
        <v>4.42</v>
      </c>
      <c r="F21" s="1">
        <v>3000</v>
      </c>
      <c r="G21" s="1">
        <v>13260</v>
      </c>
      <c r="H21" s="1">
        <v>5</v>
      </c>
      <c r="I21" s="1">
        <v>3.95</v>
      </c>
      <c r="J21" s="1">
        <v>13.26</v>
      </c>
      <c r="K21" s="1">
        <v>0</v>
      </c>
      <c r="L21" s="1">
        <v>0</v>
      </c>
      <c r="M21" s="1">
        <v>0</v>
      </c>
      <c r="N21" s="1">
        <v>13241.74</v>
      </c>
      <c r="O21" s="1">
        <v>13313.44</v>
      </c>
      <c r="P21" s="1">
        <v>24000</v>
      </c>
      <c r="Q21" s="1" t="str">
        <f>"0602175409"</f>
        <v>0602175409</v>
      </c>
      <c r="R21" s="1" t="str">
        <f t="shared" si="0"/>
        <v>人民币</v>
      </c>
      <c r="S21" s="1" t="str">
        <f t="shared" ref="S21:S25" si="9">"T4000812"</f>
        <v>T4000812</v>
      </c>
    </row>
    <row r="22" spans="1:19">
      <c r="A22" s="1" t="str">
        <f t="shared" si="8"/>
        <v>20220608</v>
      </c>
      <c r="D22" s="1" t="str">
        <f t="shared" ref="D22:D27" si="10">"偿还融资利息"</f>
        <v>偿还融资利息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-18.33</v>
      </c>
      <c r="O22" s="1">
        <v>13295.11</v>
      </c>
      <c r="P22" s="1">
        <v>0</v>
      </c>
      <c r="R22" s="1" t="str">
        <f t="shared" si="0"/>
        <v>人民币</v>
      </c>
      <c r="S22" s="1" t="str">
        <f t="shared" si="9"/>
        <v>T4000812</v>
      </c>
    </row>
    <row r="23" spans="1:19">
      <c r="A23" s="1" t="str">
        <f t="shared" si="8"/>
        <v>20220608</v>
      </c>
      <c r="D23" s="1" t="str">
        <f t="shared" ref="D23:D28" si="11">"偿还融资负债本金"</f>
        <v>偿还融资负债本金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-11286.82</v>
      </c>
      <c r="O23" s="1">
        <v>2008.29</v>
      </c>
      <c r="P23" s="1">
        <v>0</v>
      </c>
      <c r="R23" s="1" t="str">
        <f t="shared" si="0"/>
        <v>人民币</v>
      </c>
      <c r="S23" s="1" t="str">
        <f t="shared" si="9"/>
        <v>T4000812</v>
      </c>
    </row>
    <row r="24" spans="1:19">
      <c r="A24" s="1" t="str">
        <f t="shared" si="8"/>
        <v>20220608</v>
      </c>
      <c r="D24" s="1" t="str">
        <f t="shared" si="10"/>
        <v>偿还融资利息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-228.48</v>
      </c>
      <c r="O24" s="1">
        <v>1779.81</v>
      </c>
      <c r="P24" s="1">
        <v>0</v>
      </c>
      <c r="R24" s="1" t="str">
        <f t="shared" si="0"/>
        <v>人民币</v>
      </c>
      <c r="S24" s="1" t="str">
        <f t="shared" si="9"/>
        <v>T4000812</v>
      </c>
    </row>
    <row r="25" spans="1:19">
      <c r="A25" s="1" t="str">
        <f t="shared" si="8"/>
        <v>20220608</v>
      </c>
      <c r="D25" s="1" t="str">
        <f t="shared" si="11"/>
        <v>偿还融资负债本金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-1673.33</v>
      </c>
      <c r="O25" s="1">
        <v>106.48</v>
      </c>
      <c r="P25" s="1">
        <v>0</v>
      </c>
      <c r="R25" s="1" t="str">
        <f t="shared" si="0"/>
        <v>人民币</v>
      </c>
      <c r="S25" s="1" t="str">
        <f t="shared" si="9"/>
        <v>T4000812</v>
      </c>
    </row>
    <row r="26" spans="1:18">
      <c r="A26" s="1" t="str">
        <f>"20220609"</f>
        <v>20220609</v>
      </c>
      <c r="B26" s="1" t="str">
        <f>"600028"</f>
        <v>600028</v>
      </c>
      <c r="C26" s="1" t="str">
        <f>"中国石化"</f>
        <v>中国石化</v>
      </c>
      <c r="D26" s="1" t="str">
        <f>"红利入账"</f>
        <v>红利入账</v>
      </c>
      <c r="E26" s="1">
        <v>0</v>
      </c>
      <c r="F26" s="1">
        <v>10700</v>
      </c>
      <c r="G26" s="1">
        <v>3317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3317</v>
      </c>
      <c r="O26" s="1">
        <v>3423.48</v>
      </c>
      <c r="P26" s="1">
        <v>0</v>
      </c>
      <c r="Q26" s="1" t="str">
        <f>"E021635187"</f>
        <v>E021635187</v>
      </c>
      <c r="R26" s="1" t="str">
        <f t="shared" si="0"/>
        <v>人民币</v>
      </c>
    </row>
    <row r="27" spans="1:18">
      <c r="A27" s="1" t="str">
        <f>"20220610"</f>
        <v>20220610</v>
      </c>
      <c r="D27" s="1" t="str">
        <f t="shared" si="10"/>
        <v>偿还融资利息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-3.88</v>
      </c>
      <c r="O27" s="1">
        <v>3419.6</v>
      </c>
      <c r="P27" s="1">
        <v>0</v>
      </c>
      <c r="R27" s="1" t="str">
        <f t="shared" si="0"/>
        <v>人民币</v>
      </c>
    </row>
    <row r="28" spans="1:18">
      <c r="A28" s="1" t="str">
        <f>"20220610"</f>
        <v>20220610</v>
      </c>
      <c r="D28" s="1" t="str">
        <f t="shared" si="11"/>
        <v>偿还融资负债本金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-3396.12</v>
      </c>
      <c r="O28" s="1">
        <v>23.48</v>
      </c>
      <c r="P28" s="1">
        <v>0</v>
      </c>
      <c r="R28" s="1" t="str">
        <f t="shared" si="0"/>
        <v>人民币</v>
      </c>
    </row>
    <row r="29" spans="1:19">
      <c r="A29" s="1" t="str">
        <f>"20220613"</f>
        <v>20220613</v>
      </c>
      <c r="B29" s="1" t="str">
        <f>"000543"</f>
        <v>000543</v>
      </c>
      <c r="C29" s="1" t="str">
        <f>"皖能电力"</f>
        <v>皖能电力</v>
      </c>
      <c r="D29" s="1" t="str">
        <f>"融资买入"</f>
        <v>融资买入</v>
      </c>
      <c r="E29" s="1">
        <v>4.09</v>
      </c>
      <c r="F29" s="1">
        <v>3000</v>
      </c>
      <c r="G29" s="1">
        <v>12270</v>
      </c>
      <c r="H29" s="1">
        <v>5</v>
      </c>
      <c r="I29" s="1">
        <v>4.03</v>
      </c>
      <c r="J29" s="1">
        <v>0</v>
      </c>
      <c r="K29" s="1">
        <v>0</v>
      </c>
      <c r="L29" s="1">
        <v>0</v>
      </c>
      <c r="M29" s="1">
        <v>0</v>
      </c>
      <c r="N29" s="1">
        <v>-12275</v>
      </c>
      <c r="O29" s="1">
        <v>-12251.52</v>
      </c>
      <c r="P29" s="1">
        <v>27000</v>
      </c>
      <c r="Q29" s="1" t="str">
        <f>"0602175409"</f>
        <v>0602175409</v>
      </c>
      <c r="R29" s="1" t="str">
        <f t="shared" si="0"/>
        <v>人民币</v>
      </c>
      <c r="S29" s="1" t="str">
        <f>"T4000011"</f>
        <v>T4000011</v>
      </c>
    </row>
    <row r="30" spans="1:19">
      <c r="A30" s="1" t="str">
        <f>"20220613"</f>
        <v>20220613</v>
      </c>
      <c r="D30" s="1" t="str">
        <f>"融资借入"</f>
        <v>融资借入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12275</v>
      </c>
      <c r="O30" s="1">
        <v>23.48</v>
      </c>
      <c r="P30" s="1">
        <v>0</v>
      </c>
      <c r="R30" s="1" t="str">
        <f t="shared" si="0"/>
        <v>人民币</v>
      </c>
      <c r="S30" s="1" t="str">
        <f>"T4000011"</f>
        <v>T4000011</v>
      </c>
    </row>
    <row r="31" spans="1:18">
      <c r="A31" s="1" t="str">
        <f t="shared" ref="A31:A33" si="12">"20220620"</f>
        <v>20220620</v>
      </c>
      <c r="D31" s="1" t="str">
        <f>"利息归本"</f>
        <v>利息归本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0.12</v>
      </c>
      <c r="O31" s="1">
        <v>23.6</v>
      </c>
      <c r="P31" s="1">
        <v>0</v>
      </c>
      <c r="R31" s="1" t="str">
        <f t="shared" si="0"/>
        <v>人民币</v>
      </c>
    </row>
    <row r="32" spans="1:18">
      <c r="A32" s="1" t="str">
        <f t="shared" si="12"/>
        <v>20220620</v>
      </c>
      <c r="D32" s="1" t="str">
        <f t="shared" ref="D32:D36" si="13">"偿还融资利息"</f>
        <v>偿还融资利息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-12.74</v>
      </c>
      <c r="O32" s="1">
        <v>10.86</v>
      </c>
      <c r="P32" s="1">
        <v>0</v>
      </c>
      <c r="R32" s="1" t="str">
        <f t="shared" si="0"/>
        <v>人民币</v>
      </c>
    </row>
    <row r="33" spans="1:18">
      <c r="A33" s="1" t="str">
        <f t="shared" si="12"/>
        <v>20220620</v>
      </c>
      <c r="D33" s="1" t="str">
        <f t="shared" si="13"/>
        <v>偿还融资利息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-10.86</v>
      </c>
      <c r="O33" s="1">
        <v>0</v>
      </c>
      <c r="P33" s="1">
        <v>0</v>
      </c>
      <c r="R33" s="1" t="str">
        <f t="shared" si="0"/>
        <v>人民币</v>
      </c>
    </row>
    <row r="34" spans="1:19">
      <c r="A34" s="1" t="str">
        <f t="shared" ref="A34:A37" si="14">"20220621"</f>
        <v>20220621</v>
      </c>
      <c r="B34" s="1" t="str">
        <f>"000543"</f>
        <v>000543</v>
      </c>
      <c r="C34" s="1" t="str">
        <f>"皖能电力"</f>
        <v>皖能电力</v>
      </c>
      <c r="D34" s="1" t="str">
        <f>"卖券还款"</f>
        <v>卖券还款</v>
      </c>
      <c r="E34" s="1">
        <v>4.29</v>
      </c>
      <c r="F34" s="1">
        <v>3000</v>
      </c>
      <c r="G34" s="1">
        <v>12870</v>
      </c>
      <c r="H34" s="1">
        <v>5</v>
      </c>
      <c r="I34" s="1">
        <v>3.99</v>
      </c>
      <c r="J34" s="1">
        <v>12.87</v>
      </c>
      <c r="K34" s="1">
        <v>0</v>
      </c>
      <c r="L34" s="1">
        <v>0</v>
      </c>
      <c r="M34" s="1">
        <v>0</v>
      </c>
      <c r="N34" s="1">
        <v>12852.13</v>
      </c>
      <c r="O34" s="1">
        <v>12852.13</v>
      </c>
      <c r="P34" s="1">
        <v>24000</v>
      </c>
      <c r="Q34" s="1" t="str">
        <f t="shared" ref="Q34:Q39" si="15">"0602175409"</f>
        <v>0602175409</v>
      </c>
      <c r="R34" s="1" t="str">
        <f t="shared" si="0"/>
        <v>人民币</v>
      </c>
      <c r="S34" s="1" t="str">
        <f t="shared" ref="S34:S37" si="16">"T4000015"</f>
        <v>T4000015</v>
      </c>
    </row>
    <row r="35" spans="1:19">
      <c r="A35" s="1" t="str">
        <f t="shared" si="14"/>
        <v>20220621</v>
      </c>
      <c r="D35" s="1" t="str">
        <f>"偿还融资负债本金"</f>
        <v>偿还融资负债本金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-4987.55</v>
      </c>
      <c r="O35" s="1">
        <v>7864.58</v>
      </c>
      <c r="P35" s="1">
        <v>0</v>
      </c>
      <c r="R35" s="1" t="str">
        <f t="shared" si="0"/>
        <v>人民币</v>
      </c>
      <c r="S35" s="1" t="str">
        <f t="shared" si="16"/>
        <v>T4000015</v>
      </c>
    </row>
    <row r="36" spans="1:19">
      <c r="A36" s="1" t="str">
        <f t="shared" si="14"/>
        <v>20220621</v>
      </c>
      <c r="D36" s="1" t="str">
        <f t="shared" si="13"/>
        <v>偿还融资利息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-225.51</v>
      </c>
      <c r="O36" s="1">
        <v>7639.07</v>
      </c>
      <c r="P36" s="1">
        <v>0</v>
      </c>
      <c r="R36" s="1" t="str">
        <f t="shared" si="0"/>
        <v>人民币</v>
      </c>
      <c r="S36" s="1" t="str">
        <f t="shared" si="16"/>
        <v>T4000015</v>
      </c>
    </row>
    <row r="37" spans="1:19">
      <c r="A37" s="1" t="str">
        <f t="shared" si="14"/>
        <v>20220621</v>
      </c>
      <c r="D37" s="1" t="str">
        <f>"偿还融资负债本金"</f>
        <v>偿还融资负债本金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-7605.36</v>
      </c>
      <c r="O37" s="1">
        <v>33.71</v>
      </c>
      <c r="P37" s="1">
        <v>0</v>
      </c>
      <c r="R37" s="1" t="str">
        <f t="shared" si="0"/>
        <v>人民币</v>
      </c>
      <c r="S37" s="1" t="str">
        <f t="shared" si="16"/>
        <v>T4000015</v>
      </c>
    </row>
    <row r="38" spans="1:18">
      <c r="A38" s="1" t="str">
        <f t="shared" ref="A38:A40" si="17">"20220623"</f>
        <v>20220623</v>
      </c>
      <c r="B38" s="1" t="str">
        <f>"002183"</f>
        <v>002183</v>
      </c>
      <c r="C38" s="1" t="str">
        <f>"怡 亚 通"</f>
        <v>怡 亚 通</v>
      </c>
      <c r="D38" s="1" t="str">
        <f>"红利入账"</f>
        <v>红利入账</v>
      </c>
      <c r="E38" s="1">
        <v>0</v>
      </c>
      <c r="F38" s="1">
        <v>0</v>
      </c>
      <c r="G38" s="1">
        <v>400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400</v>
      </c>
      <c r="O38" s="1">
        <v>433.71</v>
      </c>
      <c r="P38" s="1">
        <v>0</v>
      </c>
      <c r="Q38" s="1" t="str">
        <f t="shared" si="15"/>
        <v>0602175409</v>
      </c>
      <c r="R38" s="1" t="str">
        <f t="shared" si="0"/>
        <v>人民币</v>
      </c>
    </row>
    <row r="39" spans="1:19">
      <c r="A39" s="1" t="str">
        <f t="shared" si="17"/>
        <v>20220623</v>
      </c>
      <c r="B39" s="1" t="str">
        <f>"000543"</f>
        <v>000543</v>
      </c>
      <c r="C39" s="1" t="str">
        <f>"皖能电力"</f>
        <v>皖能电力</v>
      </c>
      <c r="D39" s="1" t="str">
        <f>"融资买入"</f>
        <v>融资买入</v>
      </c>
      <c r="E39" s="1">
        <v>4.08</v>
      </c>
      <c r="F39" s="1">
        <v>3000</v>
      </c>
      <c r="G39" s="1">
        <v>12240</v>
      </c>
      <c r="H39" s="1">
        <v>5</v>
      </c>
      <c r="I39" s="1">
        <v>4.04</v>
      </c>
      <c r="J39" s="1">
        <v>0</v>
      </c>
      <c r="K39" s="1">
        <v>0</v>
      </c>
      <c r="L39" s="1">
        <v>0</v>
      </c>
      <c r="M39" s="1">
        <v>0</v>
      </c>
      <c r="N39" s="1">
        <v>-12245</v>
      </c>
      <c r="O39" s="1">
        <v>-11811.29</v>
      </c>
      <c r="P39" s="1">
        <v>27000</v>
      </c>
      <c r="Q39" s="1" t="str">
        <f t="shared" si="15"/>
        <v>0602175409</v>
      </c>
      <c r="R39" s="1" t="str">
        <f t="shared" si="0"/>
        <v>人民币</v>
      </c>
      <c r="S39" s="1" t="str">
        <f>"T4000030"</f>
        <v>T4000030</v>
      </c>
    </row>
    <row r="40" spans="1:19">
      <c r="A40" s="1" t="str">
        <f t="shared" si="17"/>
        <v>20220623</v>
      </c>
      <c r="D40" s="1" t="str">
        <f>"融资借入"</f>
        <v>融资借入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12245</v>
      </c>
      <c r="O40" s="1">
        <v>433.71</v>
      </c>
      <c r="P40" s="1">
        <v>0</v>
      </c>
      <c r="R40" s="1" t="str">
        <f t="shared" si="0"/>
        <v>人民币</v>
      </c>
      <c r="S40" s="1" t="str">
        <f>"T4000030"</f>
        <v>T4000030</v>
      </c>
    </row>
    <row r="41" spans="1:19">
      <c r="A41" s="1" t="str">
        <f t="shared" ref="A41:A45" si="18">"20220624"</f>
        <v>20220624</v>
      </c>
      <c r="B41" s="1" t="str">
        <f>"159781"</f>
        <v>159781</v>
      </c>
      <c r="C41" s="1" t="str">
        <f>"科创创业"</f>
        <v>科创创业</v>
      </c>
      <c r="D41" s="1" t="str">
        <f>"卖券还款"</f>
        <v>卖券还款</v>
      </c>
      <c r="E41" s="1">
        <v>0.681</v>
      </c>
      <c r="F41" s="1">
        <v>16000</v>
      </c>
      <c r="G41" s="1">
        <v>10896</v>
      </c>
      <c r="H41" s="1">
        <v>5</v>
      </c>
      <c r="I41" s="1">
        <v>4.56</v>
      </c>
      <c r="J41" s="1">
        <v>0</v>
      </c>
      <c r="K41" s="1">
        <v>0</v>
      </c>
      <c r="L41" s="1">
        <v>0</v>
      </c>
      <c r="M41" s="1">
        <v>0</v>
      </c>
      <c r="N41" s="1">
        <v>10891</v>
      </c>
      <c r="O41" s="1">
        <v>11324.71</v>
      </c>
      <c r="P41" s="1">
        <v>84000</v>
      </c>
      <c r="Q41" s="1" t="str">
        <f>"0602175409"</f>
        <v>0602175409</v>
      </c>
      <c r="R41" s="1" t="str">
        <f t="shared" si="0"/>
        <v>人民币</v>
      </c>
      <c r="S41" s="1" t="str">
        <f t="shared" ref="S41:S45" si="19">"T4000288"</f>
        <v>T4000288</v>
      </c>
    </row>
    <row r="42" spans="1:19">
      <c r="A42" s="1" t="str">
        <f t="shared" si="18"/>
        <v>20220624</v>
      </c>
      <c r="D42" s="1" t="str">
        <f>"偿还融资利息"</f>
        <v>偿还融资利息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-1.38</v>
      </c>
      <c r="O42" s="1">
        <v>11323.33</v>
      </c>
      <c r="P42" s="1">
        <v>0</v>
      </c>
      <c r="R42" s="1" t="str">
        <f t="shared" si="0"/>
        <v>人民币</v>
      </c>
      <c r="S42" s="1" t="str">
        <f t="shared" si="19"/>
        <v>T4000288</v>
      </c>
    </row>
    <row r="43" spans="1:19">
      <c r="A43" s="1" t="str">
        <f t="shared" si="18"/>
        <v>20220624</v>
      </c>
      <c r="D43" s="1" t="str">
        <f>"偿还融资负债本金"</f>
        <v>偿还融资负债本金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-2003.64</v>
      </c>
      <c r="O43" s="1">
        <v>9319.69</v>
      </c>
      <c r="P43" s="1">
        <v>0</v>
      </c>
      <c r="R43" s="1" t="str">
        <f t="shared" si="0"/>
        <v>人民币</v>
      </c>
      <c r="S43" s="1" t="str">
        <f t="shared" si="19"/>
        <v>T4000288</v>
      </c>
    </row>
    <row r="44" spans="1:19">
      <c r="A44" s="1" t="str">
        <f t="shared" si="18"/>
        <v>20220624</v>
      </c>
      <c r="D44" s="1" t="str">
        <f>"偿还融资利息"</f>
        <v>偿还融资利息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-311.07</v>
      </c>
      <c r="O44" s="1">
        <v>9008.62</v>
      </c>
      <c r="P44" s="1">
        <v>0</v>
      </c>
      <c r="R44" s="1" t="str">
        <f t="shared" si="0"/>
        <v>人民币</v>
      </c>
      <c r="S44" s="1" t="str">
        <f t="shared" si="19"/>
        <v>T4000288</v>
      </c>
    </row>
    <row r="45" spans="1:19">
      <c r="A45" s="1" t="str">
        <f t="shared" si="18"/>
        <v>20220624</v>
      </c>
      <c r="D45" s="1" t="str">
        <f>"偿还融资负债本金"</f>
        <v>偿还融资负债本金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-8547.22</v>
      </c>
      <c r="O45" s="1">
        <v>461.4</v>
      </c>
      <c r="P45" s="1">
        <v>0</v>
      </c>
      <c r="R45" s="1" t="str">
        <f t="shared" si="0"/>
        <v>人民币</v>
      </c>
      <c r="S45" s="1" t="str">
        <f t="shared" si="19"/>
        <v>T4000288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Sheet17</vt:lpstr>
      <vt:lpstr>1540结算表</vt:lpstr>
      <vt:lpstr>汇总</vt:lpstr>
      <vt:lpstr>20140901-20140930</vt:lpstr>
      <vt:lpstr>20141001-20141231</vt:lpstr>
      <vt:lpstr>20150101-20150331</vt:lpstr>
      <vt:lpstr>20150401-20150630</vt:lpstr>
      <vt:lpstr>20150701-20150930</vt:lpstr>
      <vt:lpstr>20151001-20151231</vt:lpstr>
      <vt:lpstr>20160101-20160331</vt:lpstr>
      <vt:lpstr>20160401-20160630 交割单查询</vt:lpstr>
      <vt:lpstr>20160701-20160930 交割单查询</vt:lpstr>
      <vt:lpstr>20161001-20161231交割单</vt:lpstr>
      <vt:lpstr>20170101-20170331交割单查询</vt:lpstr>
      <vt:lpstr>20170401-20170630 交割单查询</vt:lpstr>
      <vt:lpstr>20170701-20170930 交割单查询</vt:lpstr>
      <vt:lpstr>20171001-20171231交割单查询</vt:lpstr>
      <vt:lpstr>20180101-20180331交割单查询</vt:lpstr>
      <vt:lpstr>20180401-20180630交割单查询</vt:lpstr>
      <vt:lpstr>20180701-20180930交割单查询</vt:lpstr>
      <vt:lpstr>20181001-20181231交割单查询</vt:lpstr>
      <vt:lpstr>20190101-20190331交割单查询</vt:lpstr>
      <vt:lpstr>20190401-20190630交割单查询</vt:lpstr>
      <vt:lpstr>20190701-20190930交割单查询</vt:lpstr>
      <vt:lpstr>20191001-20191231交割单查询</vt:lpstr>
      <vt:lpstr>20200101-20200331交割单查询</vt:lpstr>
      <vt:lpstr>20200401-20200630交割单查询</vt:lpstr>
      <vt:lpstr>20200701-20200930交割单查询</vt:lpstr>
      <vt:lpstr>20201001-20201231交割单查询</vt:lpstr>
      <vt:lpstr>20210101-20210331交割单查询</vt:lpstr>
      <vt:lpstr>20210301-20210630交割单查询</vt:lpstr>
      <vt:lpstr>20210701-20210930 交割单查询</vt:lpstr>
      <vt:lpstr>20211001-20211231交割单查询</vt:lpstr>
      <vt:lpstr>20220101-20220331交割单查询</vt:lpstr>
      <vt:lpstr>20220401-20220630 交割单查询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2013-04-09T09:35:00Z</dcterms:created>
  <dcterms:modified xsi:type="dcterms:W3CDTF">2022-07-06T09:40:26Z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C8392C2DDD074B63BA18C025D517EAD7</vt:lpwstr>
  </property>
</Properties>
</file>